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worksheets/sheet20.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8.xml" ContentType="application/vnd.openxmlformats-officedocument.spreadsheetml.worksheet+xml"/>
  <Override PartName="/xl/worksheets/sheet2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onnections.xml" ContentType="application/vnd.openxmlformats-officedocument.spreadsheetml.connection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svfile01\finansnorge\SFA\Statistikk og analyse\Livstatistikk\Faste statistikker\MA\2017\Q3\Publisering\"/>
    </mc:Choice>
  </mc:AlternateContent>
  <bookViews>
    <workbookView xWindow="4275" yWindow="4305" windowWidth="10710" windowHeight="3225" tabRatio="835" activeTab="1"/>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0" r:id="rId31"/>
    <sheet name="Tabell 6" sheetId="62" r:id="rId32"/>
    <sheet name="Tabell 8" sheetId="61" r:id="rId33"/>
    <sheet name="Noter og kommentarer" sheetId="3" r:id="rId34"/>
  </sheets>
  <externalReferences>
    <externalReference r:id="rId35"/>
  </externalReferences>
  <definedNames>
    <definedName name="Dag">#REF!</definedName>
    <definedName name="Dager">#REF!</definedName>
    <definedName name="Feilmelding">#REF!</definedName>
    <definedName name="FilNavn">[1]Oppslagstabeller!$N$5</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Group'!$A$1:$M$135</definedName>
    <definedName name="_xlnm.Print_Area" localSheetId="21">'NEMI Forsikring'!$A$1:$M$135</definedName>
    <definedName name="_xlnm.Print_Area" localSheetId="33">'Noter og kommentarer'!$A$1:$L$43</definedName>
    <definedName name="_xlnm.Print_Area" localSheetId="6">'Skjema total MA'!$A$1:$J$136</definedName>
    <definedName name="år">#REF!</definedName>
    <definedName name="ÅrFratrekk">#REF!</definedName>
  </definedNames>
  <calcPr calcId="171027"/>
</workbook>
</file>

<file path=xl/calcChain.xml><?xml version="1.0" encoding="utf-8"?>
<calcChain xmlns="http://schemas.openxmlformats.org/spreadsheetml/2006/main">
  <c r="AN53" i="62" l="1"/>
  <c r="AN46" i="62"/>
  <c r="AK24" i="62"/>
  <c r="AK78" i="62"/>
  <c r="AB76" i="62"/>
  <c r="AB77" i="62"/>
  <c r="AB78" i="62"/>
  <c r="AB21" i="62"/>
  <c r="Y25" i="62"/>
  <c r="V78" i="62"/>
  <c r="V17" i="62"/>
  <c r="V19" i="62"/>
  <c r="S78" i="62"/>
  <c r="S82" i="62"/>
  <c r="S84" i="62"/>
  <c r="P73" i="62"/>
  <c r="M40" i="62"/>
  <c r="M46" i="62"/>
  <c r="M71" i="62"/>
  <c r="M76" i="62"/>
  <c r="M78" i="62"/>
  <c r="J88" i="62"/>
  <c r="M25" i="62"/>
  <c r="J17" i="62"/>
  <c r="J18" i="62"/>
  <c r="J36" i="62"/>
  <c r="J37" i="62"/>
  <c r="G17" i="62"/>
  <c r="G18" i="62"/>
  <c r="G19" i="62"/>
  <c r="AN84" i="62"/>
  <c r="AK58" i="62"/>
  <c r="AB27" i="60" l="1"/>
  <c r="AB12" i="60"/>
  <c r="V31" i="60"/>
  <c r="S42" i="60"/>
  <c r="P23" i="60"/>
  <c r="M26" i="60"/>
  <c r="M17" i="60"/>
  <c r="AJ18" i="61" l="1"/>
  <c r="AI18" i="61"/>
  <c r="AK18" i="61" s="1"/>
  <c r="AH18" i="61"/>
  <c r="AE18" i="61"/>
  <c r="Y18" i="61"/>
  <c r="V18" i="61"/>
  <c r="S18" i="61"/>
  <c r="P18" i="61"/>
  <c r="G18" i="61"/>
  <c r="AJ16" i="61"/>
  <c r="AI16" i="61"/>
  <c r="AH16" i="61"/>
  <c r="AE16" i="61"/>
  <c r="Y16" i="61"/>
  <c r="V16" i="61"/>
  <c r="S16" i="61"/>
  <c r="P16" i="61"/>
  <c r="M16" i="61"/>
  <c r="G16" i="61"/>
  <c r="D16" i="61"/>
  <c r="AH14" i="61"/>
  <c r="AE14" i="61"/>
  <c r="Y14" i="61"/>
  <c r="V14" i="61"/>
  <c r="S14" i="61"/>
  <c r="P14" i="61"/>
  <c r="M14" i="61"/>
  <c r="J14" i="61"/>
  <c r="G14" i="61"/>
  <c r="AH12" i="61"/>
  <c r="AE12" i="61"/>
  <c r="Y12" i="61"/>
  <c r="V12" i="61"/>
  <c r="S12" i="61"/>
  <c r="P12" i="61"/>
  <c r="M12" i="61"/>
  <c r="G12" i="61"/>
  <c r="D12" i="61"/>
  <c r="AH11" i="61"/>
  <c r="AE11" i="61"/>
  <c r="Y11" i="61"/>
  <c r="V11" i="61"/>
  <c r="S11" i="61"/>
  <c r="P11" i="61"/>
  <c r="M11" i="61"/>
  <c r="G11" i="61"/>
  <c r="D11" i="61"/>
  <c r="AR91" i="62"/>
  <c r="AO91" i="62"/>
  <c r="AS89" i="62"/>
  <c r="AR89" i="62"/>
  <c r="AP89" i="62"/>
  <c r="AO89" i="62"/>
  <c r="AQ89" i="62" s="1"/>
  <c r="AN89" i="62"/>
  <c r="AK89" i="62"/>
  <c r="AH89" i="62"/>
  <c r="AB89" i="62"/>
  <c r="Y89" i="62"/>
  <c r="V89" i="62"/>
  <c r="S89" i="62"/>
  <c r="P89" i="62"/>
  <c r="M89" i="62"/>
  <c r="J89" i="62"/>
  <c r="G89" i="62"/>
  <c r="D89" i="62"/>
  <c r="AS88" i="62"/>
  <c r="AR88" i="62"/>
  <c r="AP88" i="62"/>
  <c r="AO88" i="62"/>
  <c r="AQ88" i="62" s="1"/>
  <c r="AN88" i="62"/>
  <c r="AK88" i="62"/>
  <c r="AH88" i="62"/>
  <c r="AE88" i="62"/>
  <c r="AB88" i="62"/>
  <c r="Y88" i="62"/>
  <c r="V88" i="62"/>
  <c r="S88" i="62"/>
  <c r="P88" i="62"/>
  <c r="M88" i="62"/>
  <c r="G88" i="62"/>
  <c r="D88" i="62"/>
  <c r="AS87" i="62"/>
  <c r="AR87" i="62"/>
  <c r="AT87" i="62" s="1"/>
  <c r="AP87" i="62"/>
  <c r="AO87" i="62"/>
  <c r="AQ87" i="62" s="1"/>
  <c r="AK87" i="62"/>
  <c r="AH87" i="62"/>
  <c r="AS86" i="62"/>
  <c r="AR86" i="62"/>
  <c r="AT86" i="62" s="1"/>
  <c r="AP86" i="62"/>
  <c r="AO86" i="62"/>
  <c r="AQ86" i="62" s="1"/>
  <c r="AN86" i="62"/>
  <c r="AK86" i="62"/>
  <c r="AH86" i="62"/>
  <c r="AB86" i="62"/>
  <c r="Y86" i="62"/>
  <c r="V86" i="62"/>
  <c r="S86" i="62"/>
  <c r="P86" i="62"/>
  <c r="M86" i="62"/>
  <c r="G86" i="62"/>
  <c r="D86" i="62"/>
  <c r="AR85" i="62"/>
  <c r="AO85" i="62"/>
  <c r="AM85" i="62"/>
  <c r="AN85" i="62" s="1"/>
  <c r="AJ85" i="62"/>
  <c r="AG85" i="62"/>
  <c r="AD85" i="62"/>
  <c r="X85" i="62"/>
  <c r="U85" i="62"/>
  <c r="R85" i="62"/>
  <c r="L85" i="62"/>
  <c r="I85" i="62"/>
  <c r="F85" i="62"/>
  <c r="C85" i="62"/>
  <c r="AS84" i="62"/>
  <c r="AR84" i="62"/>
  <c r="AT84" i="62" s="1"/>
  <c r="AP84" i="62"/>
  <c r="AO84" i="62"/>
  <c r="AQ84" i="62" s="1"/>
  <c r="AS83" i="62"/>
  <c r="AR83" i="62"/>
  <c r="AP83" i="62"/>
  <c r="AO83" i="62"/>
  <c r="AK83" i="62"/>
  <c r="V83" i="62"/>
  <c r="S83" i="62"/>
  <c r="M83" i="62"/>
  <c r="G83" i="62"/>
  <c r="D83" i="62"/>
  <c r="AS82" i="62"/>
  <c r="AR82" i="62"/>
  <c r="AP82" i="62"/>
  <c r="AO82" i="62"/>
  <c r="AK82" i="62"/>
  <c r="AS81" i="62"/>
  <c r="AR81" i="62"/>
  <c r="AP81" i="62"/>
  <c r="AO81" i="62"/>
  <c r="AN81" i="62"/>
  <c r="AK81" i="62"/>
  <c r="AH81" i="62"/>
  <c r="AE81" i="62"/>
  <c r="Y81" i="62"/>
  <c r="V81" i="62"/>
  <c r="S81" i="62"/>
  <c r="M81" i="62"/>
  <c r="J81" i="62"/>
  <c r="G81" i="62"/>
  <c r="D81" i="62"/>
  <c r="AR79" i="62"/>
  <c r="AO79" i="62"/>
  <c r="AM79" i="62"/>
  <c r="AJ79" i="62"/>
  <c r="AG79" i="62"/>
  <c r="AA79" i="62"/>
  <c r="X79" i="62"/>
  <c r="U79" i="62"/>
  <c r="R79" i="62"/>
  <c r="S79" i="62" s="1"/>
  <c r="O79" i="62"/>
  <c r="L79" i="62"/>
  <c r="M79" i="62" s="1"/>
  <c r="I79" i="62"/>
  <c r="F79" i="62"/>
  <c r="C79" i="62"/>
  <c r="AS78" i="62"/>
  <c r="AR78" i="62"/>
  <c r="AT78" i="62" s="1"/>
  <c r="AP78" i="62"/>
  <c r="AO78" i="62"/>
  <c r="AQ78" i="62" s="1"/>
  <c r="AS77" i="62"/>
  <c r="AR77" i="62"/>
  <c r="AP77" i="62"/>
  <c r="AO77" i="62"/>
  <c r="AN77" i="62"/>
  <c r="J77" i="62"/>
  <c r="G77" i="62"/>
  <c r="D77" i="62"/>
  <c r="AS76" i="62"/>
  <c r="AR76" i="62"/>
  <c r="AP76" i="62"/>
  <c r="AO76" i="62"/>
  <c r="AQ76" i="62" s="1"/>
  <c r="AN76" i="62"/>
  <c r="AK76" i="62"/>
  <c r="Y76" i="62"/>
  <c r="V76" i="62"/>
  <c r="S76" i="62"/>
  <c r="G76" i="62"/>
  <c r="D76" i="62"/>
  <c r="AS75" i="62"/>
  <c r="AR75" i="62"/>
  <c r="AP75" i="62"/>
  <c r="AO75" i="62"/>
  <c r="AN75" i="62"/>
  <c r="AK75" i="62"/>
  <c r="AH75" i="62"/>
  <c r="AB75" i="62"/>
  <c r="Y75" i="62"/>
  <c r="V75" i="62"/>
  <c r="S75" i="62"/>
  <c r="M75" i="62"/>
  <c r="G75" i="62"/>
  <c r="D75" i="62"/>
  <c r="AS74" i="62"/>
  <c r="AR74" i="62"/>
  <c r="AP74" i="62"/>
  <c r="AO74" i="62"/>
  <c r="AN74" i="62"/>
  <c r="AK74" i="62"/>
  <c r="AH74" i="62"/>
  <c r="AB74" i="62"/>
  <c r="Y74" i="62"/>
  <c r="V74" i="62"/>
  <c r="S74" i="62"/>
  <c r="M74" i="62"/>
  <c r="J74" i="62"/>
  <c r="G74" i="62"/>
  <c r="D74" i="62"/>
  <c r="AS73" i="62"/>
  <c r="AR73" i="62"/>
  <c r="AT73" i="62" s="1"/>
  <c r="AP73" i="62"/>
  <c r="AO73" i="62"/>
  <c r="AQ73" i="62" s="1"/>
  <c r="AN73" i="62"/>
  <c r="AK73" i="62"/>
  <c r="AH73" i="62"/>
  <c r="AB73" i="62"/>
  <c r="Y73" i="62"/>
  <c r="V73" i="62"/>
  <c r="S73" i="62"/>
  <c r="M73" i="62"/>
  <c r="J73" i="62"/>
  <c r="G73" i="62"/>
  <c r="D73" i="62"/>
  <c r="AS71" i="62"/>
  <c r="AR71" i="62"/>
  <c r="AP71" i="62"/>
  <c r="AO71" i="62"/>
  <c r="AN71" i="62"/>
  <c r="AK71" i="62"/>
  <c r="AB71" i="62"/>
  <c r="Y71" i="62"/>
  <c r="S71" i="62"/>
  <c r="G71" i="62"/>
  <c r="AS70" i="62"/>
  <c r="AR70" i="62"/>
  <c r="AP70" i="62"/>
  <c r="AO70" i="62"/>
  <c r="AN70" i="62"/>
  <c r="AK70" i="62"/>
  <c r="Y70" i="62"/>
  <c r="S70" i="62"/>
  <c r="G70" i="62"/>
  <c r="AS69" i="62"/>
  <c r="AR69" i="62"/>
  <c r="AP69" i="62"/>
  <c r="AO69" i="62"/>
  <c r="AQ69" i="62" s="1"/>
  <c r="AN69" i="62"/>
  <c r="AK69" i="62"/>
  <c r="AH69" i="62"/>
  <c r="AE69" i="62"/>
  <c r="AB69" i="62"/>
  <c r="Y69" i="62"/>
  <c r="V69" i="62"/>
  <c r="S69" i="62"/>
  <c r="P69" i="62"/>
  <c r="M69" i="62"/>
  <c r="J69" i="62"/>
  <c r="G69" i="62"/>
  <c r="D69" i="62"/>
  <c r="AS68" i="62"/>
  <c r="AR68" i="62"/>
  <c r="AP68" i="62"/>
  <c r="AQ68" i="62" s="1"/>
  <c r="AO68" i="62"/>
  <c r="AN68" i="62"/>
  <c r="AK68" i="62"/>
  <c r="AH68" i="62"/>
  <c r="AE68" i="62"/>
  <c r="AB68" i="62"/>
  <c r="Y68" i="62"/>
  <c r="V68" i="62"/>
  <c r="S68" i="62"/>
  <c r="P68" i="62"/>
  <c r="M68" i="62"/>
  <c r="J68" i="62"/>
  <c r="G68" i="62"/>
  <c r="D68" i="62"/>
  <c r="AR64" i="62"/>
  <c r="AO64" i="62"/>
  <c r="AR62" i="62"/>
  <c r="AO62" i="62"/>
  <c r="AS61" i="62"/>
  <c r="AR61" i="62"/>
  <c r="AT61" i="62" s="1"/>
  <c r="AP61" i="62"/>
  <c r="AO61" i="62"/>
  <c r="AQ61" i="62" s="1"/>
  <c r="AH61" i="62"/>
  <c r="AR60" i="62"/>
  <c r="AO60" i="62"/>
  <c r="AS59" i="62"/>
  <c r="AR59" i="62"/>
  <c r="AP59" i="62"/>
  <c r="AO59" i="62"/>
  <c r="AK59" i="62"/>
  <c r="AH59" i="62"/>
  <c r="Y59" i="62"/>
  <c r="S59" i="62"/>
  <c r="M59" i="62"/>
  <c r="J59" i="62"/>
  <c r="D59" i="62"/>
  <c r="AS58" i="62"/>
  <c r="AR58" i="62"/>
  <c r="AP58" i="62"/>
  <c r="AO58" i="62"/>
  <c r="AN58" i="62"/>
  <c r="S58" i="62"/>
  <c r="AS57" i="62"/>
  <c r="AR57" i="62"/>
  <c r="AP57" i="62"/>
  <c r="AO57" i="62"/>
  <c r="AH57" i="62"/>
  <c r="V57" i="62"/>
  <c r="S57" i="62"/>
  <c r="M57" i="62"/>
  <c r="G57" i="62"/>
  <c r="AS56" i="62"/>
  <c r="AR56" i="62"/>
  <c r="AP56" i="62"/>
  <c r="AO56" i="62"/>
  <c r="AN56" i="62"/>
  <c r="AK56" i="62"/>
  <c r="AH56" i="62"/>
  <c r="S56" i="62"/>
  <c r="M56" i="62"/>
  <c r="G56" i="62"/>
  <c r="D56" i="62"/>
  <c r="AS55" i="62"/>
  <c r="AR55" i="62"/>
  <c r="AP55" i="62"/>
  <c r="AO55" i="62"/>
  <c r="AQ55" i="62" s="1"/>
  <c r="AN55" i="62"/>
  <c r="AK55" i="62"/>
  <c r="AH55" i="62"/>
  <c r="AE55" i="62"/>
  <c r="Y55" i="62"/>
  <c r="V55" i="62"/>
  <c r="S55" i="62"/>
  <c r="M55" i="62"/>
  <c r="J55" i="62"/>
  <c r="G55" i="62"/>
  <c r="D55" i="62"/>
  <c r="AR54" i="62"/>
  <c r="AO54" i="62"/>
  <c r="AM54" i="62"/>
  <c r="AJ54" i="62"/>
  <c r="AG54" i="62"/>
  <c r="AD54" i="62"/>
  <c r="X54" i="62"/>
  <c r="U54" i="62"/>
  <c r="R54" i="62"/>
  <c r="L54" i="62"/>
  <c r="I54" i="62"/>
  <c r="F54" i="62"/>
  <c r="C54" i="62"/>
  <c r="D54" i="62" s="1"/>
  <c r="AS53" i="62"/>
  <c r="AR53" i="62"/>
  <c r="AT53" i="62" s="1"/>
  <c r="AP53" i="62"/>
  <c r="AO53" i="62"/>
  <c r="S53" i="62"/>
  <c r="AS52" i="62"/>
  <c r="AR52" i="62"/>
  <c r="AT52" i="62" s="1"/>
  <c r="AP52" i="62"/>
  <c r="AO52" i="62"/>
  <c r="AQ52" i="62" s="1"/>
  <c r="AS51" i="62"/>
  <c r="AR51" i="62"/>
  <c r="AP51" i="62"/>
  <c r="AO51" i="62"/>
  <c r="S51" i="62"/>
  <c r="AR50" i="62"/>
  <c r="AO50" i="62"/>
  <c r="AM50" i="62"/>
  <c r="AN50" i="62" s="1"/>
  <c r="AG50" i="62"/>
  <c r="R50" i="62"/>
  <c r="AS49" i="62"/>
  <c r="AR49" i="62"/>
  <c r="AP49" i="62"/>
  <c r="AO49" i="62"/>
  <c r="AN49" i="62"/>
  <c r="S49" i="62"/>
  <c r="AS48" i="62"/>
  <c r="AR48" i="62"/>
  <c r="AT48" i="62" s="1"/>
  <c r="AP48" i="62"/>
  <c r="AO48" i="62"/>
  <c r="AQ48" i="62" s="1"/>
  <c r="AS46" i="62"/>
  <c r="AR46" i="62"/>
  <c r="AP46" i="62"/>
  <c r="AO46" i="62"/>
  <c r="AK46" i="62"/>
  <c r="AH46" i="62"/>
  <c r="Y46" i="62"/>
  <c r="J46" i="62"/>
  <c r="D46" i="62"/>
  <c r="AR45" i="62"/>
  <c r="AO45" i="62"/>
  <c r="AS44" i="62"/>
  <c r="AR44" i="62"/>
  <c r="AP44" i="62"/>
  <c r="AO44" i="62"/>
  <c r="AQ44" i="62" s="1"/>
  <c r="AK44" i="62"/>
  <c r="AH44" i="62"/>
  <c r="AB44" i="62"/>
  <c r="Y44" i="62"/>
  <c r="S44" i="62"/>
  <c r="M44" i="62"/>
  <c r="J44" i="62"/>
  <c r="G44" i="62"/>
  <c r="D44" i="62"/>
  <c r="AS43" i="62"/>
  <c r="AR43" i="62"/>
  <c r="AP43" i="62"/>
  <c r="AQ43" i="62" s="1"/>
  <c r="AO43" i="62"/>
  <c r="AN43" i="62"/>
  <c r="AK43" i="62"/>
  <c r="AB43" i="62"/>
  <c r="Y43" i="62"/>
  <c r="S43" i="62"/>
  <c r="G43" i="62"/>
  <c r="D43" i="62"/>
  <c r="AS42" i="62"/>
  <c r="AR42" i="62"/>
  <c r="AT42" i="62" s="1"/>
  <c r="AP42" i="62"/>
  <c r="AO42" i="62"/>
  <c r="AH42" i="62"/>
  <c r="AB42" i="62"/>
  <c r="V42" i="62"/>
  <c r="S42" i="62"/>
  <c r="M42" i="62"/>
  <c r="G42" i="62"/>
  <c r="AS41" i="62"/>
  <c r="AR41" i="62"/>
  <c r="AP41" i="62"/>
  <c r="AO41" i="62"/>
  <c r="AN41" i="62"/>
  <c r="AK41" i="62"/>
  <c r="AH41" i="62"/>
  <c r="AB41" i="62"/>
  <c r="Y41" i="62"/>
  <c r="V41" i="62"/>
  <c r="S41" i="62"/>
  <c r="M41" i="62"/>
  <c r="J41" i="62"/>
  <c r="G41" i="62"/>
  <c r="D41" i="62"/>
  <c r="AS40" i="62"/>
  <c r="AR40" i="62"/>
  <c r="AP40" i="62"/>
  <c r="AO40" i="62"/>
  <c r="AN40" i="62"/>
  <c r="AK40" i="62"/>
  <c r="AH40" i="62"/>
  <c r="AB40" i="62"/>
  <c r="Y40" i="62"/>
  <c r="V40" i="62"/>
  <c r="S40" i="62"/>
  <c r="J40" i="62"/>
  <c r="G40" i="62"/>
  <c r="D40" i="62"/>
  <c r="AR39" i="62"/>
  <c r="AO39" i="62"/>
  <c r="AM39" i="62"/>
  <c r="AJ39" i="62"/>
  <c r="AG39" i="62"/>
  <c r="AA39" i="62"/>
  <c r="X39" i="62"/>
  <c r="U39" i="62"/>
  <c r="S39" i="62"/>
  <c r="R39" i="62"/>
  <c r="L39" i="62"/>
  <c r="I39" i="62"/>
  <c r="F39" i="62"/>
  <c r="C39" i="62"/>
  <c r="AS38" i="62"/>
  <c r="AR38" i="62"/>
  <c r="AP38" i="62"/>
  <c r="AO38" i="62"/>
  <c r="AN38" i="62"/>
  <c r="AK38" i="62"/>
  <c r="AH38" i="62"/>
  <c r="AB38" i="62"/>
  <c r="Y38" i="62"/>
  <c r="V38" i="62"/>
  <c r="S38" i="62"/>
  <c r="M38" i="62"/>
  <c r="AS37" i="62"/>
  <c r="AR37" i="62"/>
  <c r="AT37" i="62" s="1"/>
  <c r="AP37" i="62"/>
  <c r="AO37" i="62"/>
  <c r="AN37" i="62"/>
  <c r="AK37" i="62"/>
  <c r="Y37" i="62"/>
  <c r="S37" i="62"/>
  <c r="M37" i="62"/>
  <c r="G37" i="62"/>
  <c r="AS36" i="62"/>
  <c r="AR36" i="62"/>
  <c r="AP36" i="62"/>
  <c r="AO36" i="62"/>
  <c r="AN36" i="62"/>
  <c r="AK36" i="62"/>
  <c r="AB36" i="62"/>
  <c r="Y36" i="62"/>
  <c r="V36" i="62"/>
  <c r="S36" i="62"/>
  <c r="M36" i="62"/>
  <c r="G36" i="62"/>
  <c r="AR35" i="62"/>
  <c r="AO35" i="62"/>
  <c r="AM35" i="62"/>
  <c r="AJ35" i="62"/>
  <c r="AG35" i="62"/>
  <c r="AA35" i="62"/>
  <c r="X35" i="62"/>
  <c r="U35" i="62"/>
  <c r="R35" i="62"/>
  <c r="L35" i="62"/>
  <c r="I35" i="62"/>
  <c r="J35" i="62" s="1"/>
  <c r="F35" i="62"/>
  <c r="AS34" i="62"/>
  <c r="AR34" i="62"/>
  <c r="AP34" i="62"/>
  <c r="AO34" i="62"/>
  <c r="AN34" i="62"/>
  <c r="AK34" i="62"/>
  <c r="AB34" i="62"/>
  <c r="Y34" i="62"/>
  <c r="V34" i="62"/>
  <c r="S34" i="62"/>
  <c r="G34" i="62"/>
  <c r="AS33" i="62"/>
  <c r="AR33" i="62"/>
  <c r="AP33" i="62"/>
  <c r="AO33" i="62"/>
  <c r="AQ33" i="62" s="1"/>
  <c r="AK33" i="62"/>
  <c r="G33" i="62"/>
  <c r="AR29" i="62"/>
  <c r="AO29" i="62"/>
  <c r="AS28" i="62"/>
  <c r="AR28" i="62"/>
  <c r="AP28" i="62"/>
  <c r="AO28" i="62"/>
  <c r="AN28" i="62"/>
  <c r="AK28" i="62"/>
  <c r="AH28" i="62"/>
  <c r="AE28" i="62"/>
  <c r="AB28" i="62"/>
  <c r="Y28" i="62"/>
  <c r="V28" i="62"/>
  <c r="S28" i="62"/>
  <c r="P28" i="62"/>
  <c r="M28" i="62"/>
  <c r="J28" i="62"/>
  <c r="G28" i="62"/>
  <c r="D28" i="62"/>
  <c r="AR27" i="62"/>
  <c r="AO27" i="62"/>
  <c r="AS26" i="62"/>
  <c r="AR26" i="62"/>
  <c r="AP26" i="62"/>
  <c r="AO26" i="62"/>
  <c r="AH26" i="62"/>
  <c r="AS25" i="62"/>
  <c r="AR25" i="62"/>
  <c r="AP25" i="62"/>
  <c r="AO25" i="62"/>
  <c r="AK25" i="62"/>
  <c r="S25" i="62"/>
  <c r="J25" i="62"/>
  <c r="G25" i="62"/>
  <c r="AS24" i="62"/>
  <c r="AR24" i="62"/>
  <c r="AP24" i="62"/>
  <c r="AO24" i="62"/>
  <c r="AQ24" i="62" s="1"/>
  <c r="AN24" i="62"/>
  <c r="AH24" i="62"/>
  <c r="AB24" i="62"/>
  <c r="S24" i="62"/>
  <c r="AS23" i="62"/>
  <c r="AR23" i="62"/>
  <c r="AP23" i="62"/>
  <c r="AO23" i="62"/>
  <c r="AH23" i="62"/>
  <c r="Y23" i="62"/>
  <c r="V23" i="62"/>
  <c r="S23" i="62"/>
  <c r="G23" i="62"/>
  <c r="AS22" i="62"/>
  <c r="AR22" i="62"/>
  <c r="AP22" i="62"/>
  <c r="AO22" i="62"/>
  <c r="AQ22" i="62" s="1"/>
  <c r="AN22" i="62"/>
  <c r="AK22" i="62"/>
  <c r="AH22" i="62"/>
  <c r="AB22" i="62"/>
  <c r="Y22" i="62"/>
  <c r="S22" i="62"/>
  <c r="M22" i="62"/>
  <c r="J22" i="62"/>
  <c r="G22" i="62"/>
  <c r="D22" i="62"/>
  <c r="AS21" i="62"/>
  <c r="AR21" i="62"/>
  <c r="AQ21" i="62"/>
  <c r="AP21" i="62"/>
  <c r="AO21" i="62"/>
  <c r="AN21" i="62"/>
  <c r="AK21" i="62"/>
  <c r="AH21" i="62"/>
  <c r="Y21" i="62"/>
  <c r="V21" i="62"/>
  <c r="S21" i="62"/>
  <c r="M21" i="62"/>
  <c r="J21" i="62"/>
  <c r="G21" i="62"/>
  <c r="D21" i="62"/>
  <c r="AR20" i="62"/>
  <c r="AO20" i="62"/>
  <c r="AM20" i="62"/>
  <c r="AN20" i="62" s="1"/>
  <c r="AJ20" i="62"/>
  <c r="AK20" i="62" s="1"/>
  <c r="AG20" i="62"/>
  <c r="AH20" i="62" s="1"/>
  <c r="AA20" i="62"/>
  <c r="AB20" i="62" s="1"/>
  <c r="X20" i="62"/>
  <c r="Y20" i="62" s="1"/>
  <c r="U20" i="62"/>
  <c r="V20" i="62" s="1"/>
  <c r="R20" i="62"/>
  <c r="S20" i="62" s="1"/>
  <c r="L20" i="62"/>
  <c r="M20" i="62" s="1"/>
  <c r="I20" i="62"/>
  <c r="J20" i="62" s="1"/>
  <c r="F20" i="62"/>
  <c r="G20" i="62" s="1"/>
  <c r="C20" i="62"/>
  <c r="AS19" i="62"/>
  <c r="AR19" i="62"/>
  <c r="AP19" i="62"/>
  <c r="AO19" i="62"/>
  <c r="AN19" i="62"/>
  <c r="AK19" i="62"/>
  <c r="AB19" i="62"/>
  <c r="S19" i="62"/>
  <c r="AS18" i="62"/>
  <c r="AR18" i="62"/>
  <c r="AP18" i="62"/>
  <c r="AO18" i="62"/>
  <c r="AK18" i="62"/>
  <c r="S18" i="62"/>
  <c r="AS17" i="62"/>
  <c r="AR17" i="62"/>
  <c r="AP17" i="62"/>
  <c r="AO17" i="62"/>
  <c r="AK17" i="62"/>
  <c r="AB17" i="62"/>
  <c r="S17" i="62"/>
  <c r="AR16" i="62"/>
  <c r="AO16" i="62"/>
  <c r="AM16" i="62"/>
  <c r="AJ16" i="62"/>
  <c r="AJ27" i="62" s="1"/>
  <c r="AG27" i="62"/>
  <c r="AA16" i="62"/>
  <c r="U16" i="62"/>
  <c r="R16" i="62"/>
  <c r="R27" i="62" s="1"/>
  <c r="I16" i="62"/>
  <c r="F16" i="62"/>
  <c r="G16" i="62" s="1"/>
  <c r="AS15" i="62"/>
  <c r="AR15" i="62"/>
  <c r="AP15" i="62"/>
  <c r="AO15" i="62"/>
  <c r="AN15" i="62"/>
  <c r="AK15" i="62"/>
  <c r="AB15" i="62"/>
  <c r="S15" i="62"/>
  <c r="G15" i="62"/>
  <c r="AS14" i="62"/>
  <c r="AR14" i="62"/>
  <c r="AP14" i="62"/>
  <c r="AO14" i="62"/>
  <c r="AQ14" i="62" s="1"/>
  <c r="AK14" i="62"/>
  <c r="S14" i="62"/>
  <c r="K45" i="60"/>
  <c r="AO45" i="60" s="1"/>
  <c r="AP44" i="60"/>
  <c r="AO44" i="60"/>
  <c r="AQ44" i="60" s="1"/>
  <c r="AN44" i="60"/>
  <c r="AK44" i="60"/>
  <c r="Y44" i="60"/>
  <c r="V44" i="60"/>
  <c r="S44" i="60"/>
  <c r="G44" i="60"/>
  <c r="AO43" i="60"/>
  <c r="AP42" i="60"/>
  <c r="AO42" i="60"/>
  <c r="AN42" i="60"/>
  <c r="AK42" i="60"/>
  <c r="AB42" i="60"/>
  <c r="Y42" i="60"/>
  <c r="P42" i="60"/>
  <c r="M42" i="60"/>
  <c r="J42" i="60"/>
  <c r="G42" i="60"/>
  <c r="D42" i="60"/>
  <c r="AO41" i="60"/>
  <c r="AO40" i="60"/>
  <c r="AM40" i="60"/>
  <c r="AN40" i="60" s="1"/>
  <c r="AJ40" i="60"/>
  <c r="AK40" i="60" s="1"/>
  <c r="AG40" i="60"/>
  <c r="AH40" i="60" s="1"/>
  <c r="AD40" i="60"/>
  <c r="AA40" i="60"/>
  <c r="AB40" i="60" s="1"/>
  <c r="X40" i="60"/>
  <c r="Y40" i="60" s="1"/>
  <c r="U40" i="60"/>
  <c r="V40" i="60" s="1"/>
  <c r="R40" i="60"/>
  <c r="S40" i="60" s="1"/>
  <c r="O40" i="60"/>
  <c r="P40" i="60" s="1"/>
  <c r="L40" i="60"/>
  <c r="M40" i="60" s="1"/>
  <c r="I40" i="60"/>
  <c r="J40" i="60" s="1"/>
  <c r="F40" i="60"/>
  <c r="G40" i="60" s="1"/>
  <c r="C40" i="60"/>
  <c r="D40" i="60" s="1"/>
  <c r="AP39" i="60"/>
  <c r="AO39" i="60"/>
  <c r="AN39" i="60"/>
  <c r="AK39" i="60"/>
  <c r="AH39" i="60"/>
  <c r="AB39" i="60"/>
  <c r="Y39" i="60"/>
  <c r="V39" i="60"/>
  <c r="S39" i="60"/>
  <c r="M39" i="60"/>
  <c r="G39" i="60"/>
  <c r="AP38" i="60"/>
  <c r="AN38" i="60"/>
  <c r="AK38" i="60"/>
  <c r="AH38" i="60"/>
  <c r="AB38" i="60"/>
  <c r="V38" i="60"/>
  <c r="S38" i="60"/>
  <c r="K38" i="60"/>
  <c r="J38" i="60"/>
  <c r="G38" i="60"/>
  <c r="AP37" i="60"/>
  <c r="AO37" i="60"/>
  <c r="AN37" i="60"/>
  <c r="AK37" i="60"/>
  <c r="AH37" i="60"/>
  <c r="AB37" i="60"/>
  <c r="Y37" i="60"/>
  <c r="V37" i="60"/>
  <c r="S37" i="60"/>
  <c r="P37" i="60"/>
  <c r="M37" i="60"/>
  <c r="J37" i="60"/>
  <c r="G37" i="60"/>
  <c r="D37" i="60"/>
  <c r="K34" i="60"/>
  <c r="AO34" i="60" s="1"/>
  <c r="AQ33" i="60"/>
  <c r="AP33" i="60"/>
  <c r="AO33" i="60"/>
  <c r="AN33" i="60"/>
  <c r="AK33" i="60"/>
  <c r="AH33" i="60"/>
  <c r="Y33" i="60"/>
  <c r="V33" i="60"/>
  <c r="S33" i="60"/>
  <c r="G33" i="60"/>
  <c r="AP32" i="60"/>
  <c r="AO32" i="60"/>
  <c r="AQ32" i="60" s="1"/>
  <c r="AN32" i="60"/>
  <c r="AK32" i="60"/>
  <c r="AH32" i="60"/>
  <c r="AE32" i="60"/>
  <c r="AB32" i="60"/>
  <c r="Y32" i="60"/>
  <c r="V32" i="60"/>
  <c r="S32" i="60"/>
  <c r="P32" i="60"/>
  <c r="M32" i="60"/>
  <c r="J32" i="60"/>
  <c r="G32" i="60"/>
  <c r="D32" i="60"/>
  <c r="AP31" i="60"/>
  <c r="AO31" i="60"/>
  <c r="AQ31" i="60" s="1"/>
  <c r="AN31" i="60"/>
  <c r="AK31" i="60"/>
  <c r="AH31" i="60"/>
  <c r="AB31" i="60"/>
  <c r="Y31" i="60"/>
  <c r="S31" i="60"/>
  <c r="M31" i="60"/>
  <c r="G31" i="60"/>
  <c r="AP30" i="60"/>
  <c r="AO30" i="60"/>
  <c r="AN30" i="60"/>
  <c r="AK30" i="60"/>
  <c r="AH30" i="60"/>
  <c r="AE30" i="60"/>
  <c r="Y30" i="60"/>
  <c r="V30" i="60"/>
  <c r="S30" i="60"/>
  <c r="M30" i="60"/>
  <c r="G30" i="60"/>
  <c r="D30" i="60"/>
  <c r="AO29" i="60"/>
  <c r="AM29" i="60"/>
  <c r="AN29" i="60" s="1"/>
  <c r="AJ29" i="60"/>
  <c r="AG29" i="60"/>
  <c r="AH29" i="60" s="1"/>
  <c r="AA29" i="60"/>
  <c r="AB29" i="60" s="1"/>
  <c r="X29" i="60"/>
  <c r="U29" i="60"/>
  <c r="V29" i="60" s="1"/>
  <c r="R29" i="60"/>
  <c r="O29" i="60"/>
  <c r="P29" i="60" s="1"/>
  <c r="L29" i="60"/>
  <c r="I29" i="60"/>
  <c r="F29" i="60"/>
  <c r="C29" i="60"/>
  <c r="AP28" i="60"/>
  <c r="AO28" i="60"/>
  <c r="AN28" i="60"/>
  <c r="AK28" i="60"/>
  <c r="S28" i="60"/>
  <c r="G28" i="60"/>
  <c r="AP27" i="60"/>
  <c r="AO27" i="60"/>
  <c r="AN27" i="60"/>
  <c r="J27" i="60"/>
  <c r="G27" i="60"/>
  <c r="D27" i="60"/>
  <c r="AP26" i="60"/>
  <c r="AO26" i="60"/>
  <c r="AN26" i="60"/>
  <c r="AK26" i="60"/>
  <c r="AB26" i="60"/>
  <c r="Y26" i="60"/>
  <c r="V26" i="60"/>
  <c r="S26" i="60"/>
  <c r="G26" i="60"/>
  <c r="AP25" i="60"/>
  <c r="AO25" i="60"/>
  <c r="AN25" i="60"/>
  <c r="AK25" i="60"/>
  <c r="AH25" i="60"/>
  <c r="AB25" i="60"/>
  <c r="Y25" i="60"/>
  <c r="V25" i="60"/>
  <c r="S25" i="60"/>
  <c r="M25" i="60"/>
  <c r="G25" i="60"/>
  <c r="D25" i="60"/>
  <c r="AP24" i="60"/>
  <c r="AO24" i="60"/>
  <c r="AN24" i="60"/>
  <c r="AK24" i="60"/>
  <c r="AH24" i="60"/>
  <c r="Y24" i="60"/>
  <c r="V24" i="60"/>
  <c r="S24" i="60"/>
  <c r="M24" i="60"/>
  <c r="G24" i="60"/>
  <c r="AP23" i="60"/>
  <c r="AO23" i="60"/>
  <c r="AN23" i="60"/>
  <c r="AK23" i="60"/>
  <c r="AH23" i="60"/>
  <c r="AB23" i="60"/>
  <c r="Y23" i="60"/>
  <c r="V23" i="60"/>
  <c r="S23" i="60"/>
  <c r="M23" i="60"/>
  <c r="J23" i="60"/>
  <c r="G23" i="60"/>
  <c r="D23" i="60"/>
  <c r="AR21" i="60"/>
  <c r="AO21" i="60"/>
  <c r="AM21" i="60"/>
  <c r="AJ21" i="60"/>
  <c r="AG21" i="60"/>
  <c r="AD21" i="60"/>
  <c r="AA21" i="60"/>
  <c r="X21" i="60"/>
  <c r="Y21" i="60" s="1"/>
  <c r="U21" i="60"/>
  <c r="R21" i="60"/>
  <c r="O21" i="60"/>
  <c r="L21" i="60"/>
  <c r="I21" i="60"/>
  <c r="F21" i="60"/>
  <c r="G21" i="60" s="1"/>
  <c r="C21" i="60"/>
  <c r="AS20" i="60"/>
  <c r="AR20" i="60"/>
  <c r="AP20" i="60"/>
  <c r="AO20" i="60"/>
  <c r="AN20" i="60"/>
  <c r="AK20" i="60"/>
  <c r="AH20" i="60"/>
  <c r="AE20" i="60"/>
  <c r="Y20" i="60"/>
  <c r="V20" i="60"/>
  <c r="S20" i="60"/>
  <c r="M20" i="60"/>
  <c r="J20" i="60"/>
  <c r="G20" i="60"/>
  <c r="D20" i="60"/>
  <c r="AS19" i="60"/>
  <c r="AR19" i="60"/>
  <c r="AT19" i="60" s="1"/>
  <c r="AP19" i="60"/>
  <c r="AO19" i="60"/>
  <c r="AN19" i="60"/>
  <c r="AK19" i="60"/>
  <c r="AH19" i="60"/>
  <c r="AE19" i="60"/>
  <c r="AB19" i="60"/>
  <c r="Y19" i="60"/>
  <c r="V19" i="60"/>
  <c r="S19" i="60"/>
  <c r="P19" i="60"/>
  <c r="M19" i="60"/>
  <c r="J19" i="60"/>
  <c r="G19" i="60"/>
  <c r="D19" i="60"/>
  <c r="AS17" i="60"/>
  <c r="AR17" i="60"/>
  <c r="AP17" i="60"/>
  <c r="AO17" i="60"/>
  <c r="AN17" i="60"/>
  <c r="AK17" i="60"/>
  <c r="AB17" i="60"/>
  <c r="Y17" i="60"/>
  <c r="V17" i="60"/>
  <c r="S17" i="60"/>
  <c r="J17" i="60"/>
  <c r="G17" i="60"/>
  <c r="AS16" i="60"/>
  <c r="AR16" i="60"/>
  <c r="AP16" i="60"/>
  <c r="AO16" i="60"/>
  <c r="AN16" i="60"/>
  <c r="AK16" i="60"/>
  <c r="AH16" i="60"/>
  <c r="AE16" i="60"/>
  <c r="Y16" i="60"/>
  <c r="V16" i="60"/>
  <c r="S16" i="60"/>
  <c r="M16" i="60"/>
  <c r="J16" i="60"/>
  <c r="G16" i="60"/>
  <c r="D16" i="60"/>
  <c r="AS15" i="60"/>
  <c r="AR15" i="60"/>
  <c r="AT15" i="60" s="1"/>
  <c r="AP15" i="60"/>
  <c r="AO15" i="60"/>
  <c r="AN15" i="60"/>
  <c r="AK15" i="60"/>
  <c r="AH15" i="60"/>
  <c r="AB15" i="60"/>
  <c r="Y15" i="60"/>
  <c r="V15" i="60"/>
  <c r="S15" i="60"/>
  <c r="M15" i="60"/>
  <c r="J15" i="60"/>
  <c r="G15" i="60"/>
  <c r="D15" i="60"/>
  <c r="AR14" i="60"/>
  <c r="AO14" i="60"/>
  <c r="AM14" i="60"/>
  <c r="AJ14" i="60"/>
  <c r="AG14" i="60"/>
  <c r="AD14" i="60"/>
  <c r="AA14" i="60"/>
  <c r="X14" i="60"/>
  <c r="U14" i="60"/>
  <c r="V14" i="60" s="1"/>
  <c r="R14" i="60"/>
  <c r="O14" i="60"/>
  <c r="L14" i="60"/>
  <c r="I14" i="60"/>
  <c r="J14" i="60" s="1"/>
  <c r="F14" i="60"/>
  <c r="C14" i="60"/>
  <c r="AS13" i="60"/>
  <c r="AR13" i="60"/>
  <c r="AP13" i="60"/>
  <c r="AO13" i="60"/>
  <c r="AQ13" i="60" s="1"/>
  <c r="AN13" i="60"/>
  <c r="AK13" i="60"/>
  <c r="AH13" i="60"/>
  <c r="AE13" i="60"/>
  <c r="Y13" i="60"/>
  <c r="V13" i="60"/>
  <c r="S13" i="60"/>
  <c r="M13" i="60"/>
  <c r="J13" i="60"/>
  <c r="G13" i="60"/>
  <c r="D13" i="60"/>
  <c r="AS12" i="60"/>
  <c r="AR12" i="60"/>
  <c r="AP12" i="60"/>
  <c r="AO12" i="60"/>
  <c r="AN12" i="60"/>
  <c r="AK12" i="60"/>
  <c r="Y12" i="60"/>
  <c r="V12" i="60"/>
  <c r="S12" i="60"/>
  <c r="M12" i="60"/>
  <c r="J12" i="60"/>
  <c r="G12" i="60"/>
  <c r="D12" i="60"/>
  <c r="AS11" i="60"/>
  <c r="AR11" i="60"/>
  <c r="AT11" i="60" s="1"/>
  <c r="AP11" i="60"/>
  <c r="AO11" i="60"/>
  <c r="AN11" i="60"/>
  <c r="AK11" i="60"/>
  <c r="AE11" i="60"/>
  <c r="AB11" i="60"/>
  <c r="Y11" i="60"/>
  <c r="V11" i="60"/>
  <c r="S11" i="60"/>
  <c r="P11" i="60"/>
  <c r="M11" i="60"/>
  <c r="J11" i="60"/>
  <c r="G11" i="60"/>
  <c r="D11" i="60"/>
  <c r="AT17" i="60" l="1"/>
  <c r="AT20" i="60"/>
  <c r="AQ12" i="60"/>
  <c r="AQ17" i="60"/>
  <c r="AQ15" i="60"/>
  <c r="AQ71" i="62"/>
  <c r="AQ81" i="62"/>
  <c r="AM27" i="62"/>
  <c r="U27" i="62"/>
  <c r="V27" i="62" s="1"/>
  <c r="V16" i="62"/>
  <c r="X27" i="62"/>
  <c r="I27" i="62"/>
  <c r="J16" i="62"/>
  <c r="AA27" i="62"/>
  <c r="AT34" i="62"/>
  <c r="AT36" i="62"/>
  <c r="AQ37" i="62"/>
  <c r="AQ38" i="62"/>
  <c r="AQ46" i="62"/>
  <c r="AQ56" i="62"/>
  <c r="AT68" i="62"/>
  <c r="AQ70" i="62"/>
  <c r="AT71" i="62"/>
  <c r="AT41" i="62"/>
  <c r="AT22" i="62"/>
  <c r="AT14" i="62"/>
  <c r="AT15" i="62"/>
  <c r="AT17" i="62"/>
  <c r="AT77" i="62"/>
  <c r="AT21" i="62"/>
  <c r="AT26" i="62"/>
  <c r="AT24" i="62"/>
  <c r="AT56" i="62"/>
  <c r="AT58" i="62"/>
  <c r="AT59" i="62"/>
  <c r="C34" i="60"/>
  <c r="AQ28" i="60"/>
  <c r="L27" i="62"/>
  <c r="L29" i="62" s="1"/>
  <c r="AP20" i="62"/>
  <c r="AQ20" i="62" s="1"/>
  <c r="AQ77" i="62"/>
  <c r="AQ83" i="62"/>
  <c r="AP16" i="62"/>
  <c r="AQ16" i="62" s="1"/>
  <c r="O29" i="62"/>
  <c r="AQ19" i="62"/>
  <c r="AQ40" i="62"/>
  <c r="AN54" i="62"/>
  <c r="AQ57" i="62"/>
  <c r="AP14" i="60"/>
  <c r="AQ39" i="60"/>
  <c r="AT13" i="60"/>
  <c r="D21" i="60"/>
  <c r="AK21" i="60"/>
  <c r="AQ24" i="60"/>
  <c r="AQ27" i="60"/>
  <c r="AQ15" i="62"/>
  <c r="F27" i="62"/>
  <c r="F29" i="62" s="1"/>
  <c r="AN16" i="62"/>
  <c r="AT18" i="62"/>
  <c r="AT19" i="62"/>
  <c r="AQ23" i="62"/>
  <c r="AT25" i="62"/>
  <c r="AQ28" i="62"/>
  <c r="AT33" i="62"/>
  <c r="AQ36" i="62"/>
  <c r="Y39" i="62"/>
  <c r="AT40" i="62"/>
  <c r="AT46" i="62"/>
  <c r="AQ51" i="62"/>
  <c r="AH54" i="62"/>
  <c r="AT57" i="62"/>
  <c r="AQ59" i="62"/>
  <c r="AT70" i="62"/>
  <c r="AT74" i="62"/>
  <c r="AQ75" i="62"/>
  <c r="AT82" i="62"/>
  <c r="V85" i="62"/>
  <c r="G14" i="60"/>
  <c r="S14" i="60"/>
  <c r="AE14" i="60"/>
  <c r="V21" i="60"/>
  <c r="AE21" i="60"/>
  <c r="AQ25" i="60"/>
  <c r="AS50" i="62"/>
  <c r="AK79" i="62"/>
  <c r="AQ82" i="62"/>
  <c r="AA34" i="60"/>
  <c r="AG34" i="60"/>
  <c r="AH34" i="60" s="1"/>
  <c r="AQ11" i="60"/>
  <c r="D14" i="60"/>
  <c r="P14" i="60"/>
  <c r="AB14" i="60"/>
  <c r="AH14" i="60"/>
  <c r="AN14" i="60"/>
  <c r="AT16" i="60"/>
  <c r="AQ19" i="60"/>
  <c r="AQ20" i="60"/>
  <c r="J21" i="60"/>
  <c r="D29" i="60"/>
  <c r="AQ30" i="60"/>
  <c r="AD29" i="62"/>
  <c r="AE29" i="62" s="1"/>
  <c r="AQ17" i="62"/>
  <c r="AQ18" i="62"/>
  <c r="AT23" i="62"/>
  <c r="AQ25" i="62"/>
  <c r="AT28" i="62"/>
  <c r="AQ34" i="62"/>
  <c r="M35" i="62"/>
  <c r="AH35" i="62"/>
  <c r="AN35" i="62"/>
  <c r="AQ41" i="62"/>
  <c r="AQ42" i="62"/>
  <c r="AT43" i="62"/>
  <c r="AT49" i="62"/>
  <c r="AT51" i="62"/>
  <c r="G54" i="62"/>
  <c r="M54" i="62"/>
  <c r="AQ58" i="62"/>
  <c r="AT69" i="62"/>
  <c r="AQ74" i="62"/>
  <c r="AT75" i="62"/>
  <c r="AT76" i="62"/>
  <c r="AH79" i="62"/>
  <c r="AN79" i="62"/>
  <c r="AT81" i="62"/>
  <c r="AT83" i="62"/>
  <c r="AT88" i="62"/>
  <c r="AT89" i="62"/>
  <c r="AK16" i="61"/>
  <c r="AT12" i="60"/>
  <c r="M14" i="60"/>
  <c r="Y14" i="60"/>
  <c r="AK14" i="60"/>
  <c r="AQ26" i="62"/>
  <c r="AK35" i="62"/>
  <c r="AT38" i="62"/>
  <c r="AQ53" i="62"/>
  <c r="J54" i="62"/>
  <c r="I34" i="60"/>
  <c r="U34" i="60"/>
  <c r="AQ16" i="60"/>
  <c r="P21" i="60"/>
  <c r="J29" i="60"/>
  <c r="AK29" i="60"/>
  <c r="AJ34" i="60"/>
  <c r="S16" i="62"/>
  <c r="AB16" i="62"/>
  <c r="AK16" i="62"/>
  <c r="V39" i="62"/>
  <c r="AB39" i="62"/>
  <c r="AT44" i="62"/>
  <c r="AQ49" i="62"/>
  <c r="AE54" i="62"/>
  <c r="AK54" i="62"/>
  <c r="S85" i="62"/>
  <c r="Y85" i="62"/>
  <c r="U29" i="62"/>
  <c r="AM29" i="62"/>
  <c r="AN27" i="62"/>
  <c r="P29" i="62"/>
  <c r="X29" i="62"/>
  <c r="Y27" i="62"/>
  <c r="AG29" i="62"/>
  <c r="AH27" i="62"/>
  <c r="R29" i="62"/>
  <c r="S27" i="62"/>
  <c r="AK27" i="62"/>
  <c r="AJ29" i="62"/>
  <c r="AA29" i="62"/>
  <c r="AB27" i="62"/>
  <c r="I29" i="62"/>
  <c r="J27" i="62"/>
  <c r="AP35" i="62"/>
  <c r="C45" i="62"/>
  <c r="I45" i="62"/>
  <c r="AJ45" i="62"/>
  <c r="F60" i="62"/>
  <c r="R60" i="62"/>
  <c r="AM60" i="62"/>
  <c r="AP54" i="62"/>
  <c r="AS16" i="62"/>
  <c r="AT16" i="62" s="1"/>
  <c r="D20" i="62"/>
  <c r="AS20" i="62"/>
  <c r="AT20" i="62" s="1"/>
  <c r="C27" i="62"/>
  <c r="S35" i="62"/>
  <c r="Y35" i="62"/>
  <c r="G39" i="62"/>
  <c r="M39" i="62"/>
  <c r="AH39" i="62"/>
  <c r="AN39" i="62"/>
  <c r="R45" i="62"/>
  <c r="X45" i="62"/>
  <c r="I60" i="62"/>
  <c r="S50" i="62"/>
  <c r="AD60" i="62"/>
  <c r="S54" i="62"/>
  <c r="Y54" i="62"/>
  <c r="AT55" i="62"/>
  <c r="U60" i="62"/>
  <c r="AS39" i="62"/>
  <c r="F45" i="62"/>
  <c r="L45" i="62"/>
  <c r="AG45" i="62"/>
  <c r="AM45" i="62"/>
  <c r="L60" i="62"/>
  <c r="AG60" i="62"/>
  <c r="AP50" i="62"/>
  <c r="G35" i="62"/>
  <c r="V35" i="62"/>
  <c r="AB35" i="62"/>
  <c r="AS35" i="62"/>
  <c r="D39" i="62"/>
  <c r="J39" i="62"/>
  <c r="AK39" i="62"/>
  <c r="AP39" i="62"/>
  <c r="U45" i="62"/>
  <c r="AA45" i="62"/>
  <c r="C60" i="62"/>
  <c r="X60" i="62"/>
  <c r="AJ60" i="62"/>
  <c r="AS54" i="62"/>
  <c r="V54" i="62"/>
  <c r="D79" i="62"/>
  <c r="J79" i="62"/>
  <c r="P79" i="62"/>
  <c r="V79" i="62"/>
  <c r="AB79" i="62"/>
  <c r="AS79" i="62"/>
  <c r="D85" i="62"/>
  <c r="J85" i="62"/>
  <c r="AE85" i="62"/>
  <c r="AK85" i="62"/>
  <c r="AP85" i="62"/>
  <c r="AP79" i="62"/>
  <c r="F91" i="62"/>
  <c r="L91" i="62"/>
  <c r="R91" i="62"/>
  <c r="X91" i="62"/>
  <c r="AD91" i="62"/>
  <c r="AJ91" i="62"/>
  <c r="G79" i="62"/>
  <c r="Y79" i="62"/>
  <c r="G85" i="62"/>
  <c r="M85" i="62"/>
  <c r="AH85" i="62"/>
  <c r="AS85" i="62"/>
  <c r="C91" i="62"/>
  <c r="I91" i="62"/>
  <c r="O91" i="62"/>
  <c r="U91" i="62"/>
  <c r="AA91" i="62"/>
  <c r="AG91" i="62"/>
  <c r="AM91" i="62"/>
  <c r="AN21" i="60"/>
  <c r="Y29" i="60"/>
  <c r="F34" i="60"/>
  <c r="AS14" i="60"/>
  <c r="AD34" i="60"/>
  <c r="L34" i="60"/>
  <c r="AK34" i="60"/>
  <c r="AJ41" i="60"/>
  <c r="D34" i="60"/>
  <c r="C41" i="60"/>
  <c r="J34" i="60"/>
  <c r="I41" i="60"/>
  <c r="O34" i="60"/>
  <c r="AA41" i="60"/>
  <c r="AB34" i="60"/>
  <c r="AM34" i="60"/>
  <c r="AQ14" i="60"/>
  <c r="M21" i="60"/>
  <c r="S21" i="60"/>
  <c r="AH21" i="60"/>
  <c r="AS21" i="60"/>
  <c r="AQ26" i="60"/>
  <c r="S29" i="60"/>
  <c r="AP29" i="60"/>
  <c r="R34" i="60"/>
  <c r="AQ42" i="60"/>
  <c r="AB21" i="60"/>
  <c r="AP21" i="60"/>
  <c r="AQ23" i="60"/>
  <c r="X34" i="60"/>
  <c r="AQ37" i="60"/>
  <c r="AO38" i="60"/>
  <c r="AQ38" i="60" s="1"/>
  <c r="AP40" i="60"/>
  <c r="AQ40" i="60" s="1"/>
  <c r="G29" i="60"/>
  <c r="M29" i="60"/>
  <c r="AG41" i="60" l="1"/>
  <c r="G27" i="62"/>
  <c r="AQ54" i="62"/>
  <c r="M27" i="62"/>
  <c r="AT50" i="62"/>
  <c r="AQ29" i="60"/>
  <c r="V34" i="60"/>
  <c r="U41" i="60"/>
  <c r="U43" i="60" s="1"/>
  <c r="AQ79" i="62"/>
  <c r="AT85" i="62"/>
  <c r="AN91" i="62"/>
  <c r="P91" i="62"/>
  <c r="AK91" i="62"/>
  <c r="M91" i="62"/>
  <c r="AP60" i="62"/>
  <c r="D60" i="62"/>
  <c r="AS60" i="62"/>
  <c r="AT39" i="62"/>
  <c r="AH60" i="62"/>
  <c r="G45" i="62"/>
  <c r="F62" i="62"/>
  <c r="F64" i="62" s="1"/>
  <c r="V60" i="62"/>
  <c r="X62" i="62"/>
  <c r="X64" i="62" s="1"/>
  <c r="Y45" i="62"/>
  <c r="C29" i="62"/>
  <c r="AP27" i="62"/>
  <c r="AQ27" i="62" s="1"/>
  <c r="AS27" i="62"/>
  <c r="AT27" i="62" s="1"/>
  <c r="D27" i="62"/>
  <c r="S60" i="62"/>
  <c r="C62" i="62"/>
  <c r="AP45" i="62"/>
  <c r="D45" i="62"/>
  <c r="AS45" i="62"/>
  <c r="AB29" i="62"/>
  <c r="Y29" i="62"/>
  <c r="J91" i="62"/>
  <c r="AE91" i="62"/>
  <c r="G91" i="62"/>
  <c r="AQ85" i="62"/>
  <c r="AK60" i="62"/>
  <c r="AQ39" i="62"/>
  <c r="AT35" i="62"/>
  <c r="AM62" i="62"/>
  <c r="AM64" i="62" s="1"/>
  <c r="AN45" i="62"/>
  <c r="J60" i="62"/>
  <c r="R62" i="62"/>
  <c r="R64" i="62" s="1"/>
  <c r="S45" i="62"/>
  <c r="AJ62" i="62"/>
  <c r="AJ64" i="62" s="1"/>
  <c r="AK45" i="62"/>
  <c r="AQ35" i="62"/>
  <c r="S29" i="62"/>
  <c r="AN29" i="62"/>
  <c r="AH91" i="62"/>
  <c r="AB91" i="62"/>
  <c r="AP91" i="62"/>
  <c r="AS91" i="62"/>
  <c r="D91" i="62"/>
  <c r="Y91" i="62"/>
  <c r="AT79" i="62"/>
  <c r="AA62" i="62"/>
  <c r="AB45" i="62"/>
  <c r="M60" i="62"/>
  <c r="AG62" i="62"/>
  <c r="AH45" i="62"/>
  <c r="AE60" i="62"/>
  <c r="AN60" i="62"/>
  <c r="G60" i="62"/>
  <c r="J29" i="62"/>
  <c r="AK29" i="62"/>
  <c r="AG64" i="62"/>
  <c r="AH29" i="62"/>
  <c r="M29" i="62"/>
  <c r="V91" i="62"/>
  <c r="S91" i="62"/>
  <c r="AT54" i="62"/>
  <c r="Y60" i="62"/>
  <c r="U62" i="62"/>
  <c r="U64" i="62" s="1"/>
  <c r="V45" i="62"/>
  <c r="AQ50" i="62"/>
  <c r="M45" i="62"/>
  <c r="L62" i="62"/>
  <c r="AD62" i="62"/>
  <c r="I62" i="62"/>
  <c r="I64" i="62" s="1"/>
  <c r="J45" i="62"/>
  <c r="G29" i="62"/>
  <c r="V29" i="62"/>
  <c r="S34" i="60"/>
  <c r="R41" i="60"/>
  <c r="AQ21" i="60"/>
  <c r="I43" i="60"/>
  <c r="J41" i="60"/>
  <c r="C43" i="60"/>
  <c r="D41" i="60"/>
  <c r="AK41" i="60"/>
  <c r="AJ43" i="60"/>
  <c r="AT14" i="60"/>
  <c r="AM41" i="60"/>
  <c r="AN34" i="60"/>
  <c r="V41" i="60"/>
  <c r="Y34" i="60"/>
  <c r="X41" i="60"/>
  <c r="AT21" i="60"/>
  <c r="AA43" i="60"/>
  <c r="AB41" i="60"/>
  <c r="L41" i="60"/>
  <c r="AE34" i="60"/>
  <c r="AD41" i="60"/>
  <c r="F41" i="60"/>
  <c r="G34" i="60"/>
  <c r="AG43" i="60"/>
  <c r="AH41" i="60"/>
  <c r="O41" i="60"/>
  <c r="P34" i="60"/>
  <c r="AP34" i="60"/>
  <c r="M34" i="60"/>
  <c r="AP41" i="60" l="1"/>
  <c r="AQ41" i="60" s="1"/>
  <c r="S64" i="62"/>
  <c r="J64" i="62"/>
  <c r="AH64" i="62"/>
  <c r="AK62" i="62"/>
  <c r="AN62" i="62"/>
  <c r="AT45" i="62"/>
  <c r="Y62" i="62"/>
  <c r="G62" i="62"/>
  <c r="V64" i="62"/>
  <c r="J62" i="62"/>
  <c r="M62" i="62"/>
  <c r="O64" i="62"/>
  <c r="Y64" i="62"/>
  <c r="AQ60" i="62"/>
  <c r="L64" i="62"/>
  <c r="AK64" i="62"/>
  <c r="AH62" i="62"/>
  <c r="AT91" i="62"/>
  <c r="AN64" i="62"/>
  <c r="AQ45" i="62"/>
  <c r="C64" i="62"/>
  <c r="AP29" i="62"/>
  <c r="AQ29" i="62" s="1"/>
  <c r="AS29" i="62"/>
  <c r="AT29" i="62" s="1"/>
  <c r="D29" i="62"/>
  <c r="G64" i="62"/>
  <c r="AE62" i="62"/>
  <c r="AD64" i="62"/>
  <c r="V62" i="62"/>
  <c r="AB62" i="62"/>
  <c r="AQ91" i="62"/>
  <c r="S62" i="62"/>
  <c r="AA64" i="62"/>
  <c r="AS62" i="62"/>
  <c r="D62" i="62"/>
  <c r="AP62" i="62"/>
  <c r="AT60" i="62"/>
  <c r="U45" i="60"/>
  <c r="V43" i="60"/>
  <c r="AG45" i="60"/>
  <c r="AH43" i="60"/>
  <c r="M41" i="60"/>
  <c r="L43" i="60"/>
  <c r="AK43" i="60"/>
  <c r="AJ45" i="60"/>
  <c r="C45" i="60"/>
  <c r="D43" i="60"/>
  <c r="O43" i="60"/>
  <c r="P41" i="60"/>
  <c r="AA45" i="60"/>
  <c r="AB43" i="60"/>
  <c r="X43" i="60"/>
  <c r="Y41" i="60"/>
  <c r="I45" i="60"/>
  <c r="J43" i="60"/>
  <c r="S41" i="60"/>
  <c r="R43" i="60"/>
  <c r="AE41" i="60"/>
  <c r="AD43" i="60"/>
  <c r="AQ34" i="60"/>
  <c r="G41" i="60"/>
  <c r="F43" i="60"/>
  <c r="AM43" i="60"/>
  <c r="AN41" i="60"/>
  <c r="AE64" i="62" l="1"/>
  <c r="P64" i="62"/>
  <c r="AT62" i="62"/>
  <c r="D64" i="62"/>
  <c r="AS64" i="62"/>
  <c r="AP64" i="62"/>
  <c r="M64" i="62"/>
  <c r="AQ62" i="62"/>
  <c r="AB64" i="62"/>
  <c r="AM45" i="60"/>
  <c r="AN43" i="60"/>
  <c r="Y43" i="60"/>
  <c r="X45" i="60"/>
  <c r="O45" i="60"/>
  <c r="P43" i="60"/>
  <c r="AK45" i="60"/>
  <c r="G43" i="60"/>
  <c r="F45" i="60"/>
  <c r="AH45" i="60"/>
  <c r="J45" i="60"/>
  <c r="AB45" i="60"/>
  <c r="AP43" i="60"/>
  <c r="AQ43" i="60" s="1"/>
  <c r="M43" i="60"/>
  <c r="L45" i="60"/>
  <c r="AE43" i="60"/>
  <c r="AD45" i="60"/>
  <c r="S43" i="60"/>
  <c r="R45" i="60"/>
  <c r="D45" i="60"/>
  <c r="V45" i="60"/>
  <c r="AT64" i="62" l="1"/>
  <c r="AQ64" i="62"/>
  <c r="Y45" i="60"/>
  <c r="S45" i="60"/>
  <c r="M45" i="60"/>
  <c r="AP45" i="60"/>
  <c r="G45" i="60"/>
  <c r="AE45" i="60"/>
  <c r="P45" i="60"/>
  <c r="AN45" i="60"/>
  <c r="AQ45" i="60" l="1"/>
  <c r="K9" i="18" l="1"/>
  <c r="K8" i="18"/>
  <c r="H76" i="18" l="1"/>
  <c r="H110" i="18"/>
  <c r="H122" i="18"/>
  <c r="H117" i="18"/>
  <c r="H10" i="18"/>
  <c r="D7" i="18"/>
  <c r="D10" i="18"/>
  <c r="H114" i="18"/>
  <c r="H115" i="18"/>
  <c r="H119" i="18"/>
  <c r="H120" i="18"/>
  <c r="K7" i="18"/>
  <c r="J86" i="18"/>
  <c r="H87" i="18"/>
  <c r="H107" i="18"/>
  <c r="H111" i="18"/>
  <c r="H123" i="18"/>
  <c r="K111" i="18"/>
  <c r="K97" i="18"/>
  <c r="H7" i="18"/>
  <c r="K11" i="18"/>
  <c r="J65" i="18"/>
  <c r="D97" i="18"/>
  <c r="J107" i="18"/>
  <c r="J110" i="18"/>
  <c r="J114" i="18"/>
  <c r="J119" i="18"/>
  <c r="D27" i="18"/>
  <c r="H32" i="18"/>
  <c r="H33" i="18"/>
  <c r="K76" i="18"/>
  <c r="D77" i="18"/>
  <c r="J87" i="18"/>
  <c r="H98" i="18"/>
  <c r="K106" i="18"/>
  <c r="J111" i="18"/>
  <c r="K118" i="18"/>
  <c r="H106" i="18"/>
  <c r="K28" i="18"/>
  <c r="J33" i="18"/>
  <c r="K77" i="18"/>
  <c r="H11" i="18"/>
  <c r="K66" i="18"/>
  <c r="H75" i="18"/>
  <c r="K87" i="18"/>
  <c r="J96" i="18"/>
  <c r="K107" i="18"/>
  <c r="J66" i="18"/>
  <c r="J115" i="18"/>
  <c r="K12" i="18"/>
  <c r="K110" i="18"/>
  <c r="K115" i="18"/>
  <c r="H12" i="18"/>
  <c r="J28" i="18"/>
  <c r="K33" i="18"/>
  <c r="J122" i="18"/>
  <c r="K10" i="18"/>
  <c r="H28" i="18"/>
  <c r="J32" i="18"/>
  <c r="D65" i="18"/>
  <c r="H77" i="18"/>
  <c r="D86" i="18"/>
  <c r="J97" i="18"/>
  <c r="K98" i="18"/>
  <c r="J118" i="18"/>
  <c r="K119" i="18"/>
  <c r="K122" i="18"/>
  <c r="K27" i="18"/>
  <c r="K32" i="18"/>
  <c r="J77" i="18"/>
  <c r="D46" i="18"/>
  <c r="K65" i="18"/>
  <c r="K85" i="18"/>
  <c r="D118" i="18"/>
  <c r="K75" i="18"/>
  <c r="J11" i="18"/>
  <c r="D22" i="18"/>
  <c r="D28" i="18"/>
  <c r="J106" i="18"/>
  <c r="D110" i="18"/>
  <c r="K114" i="18"/>
  <c r="D114" i="18"/>
  <c r="H22" i="18"/>
  <c r="D76" i="18"/>
  <c r="D85" i="18"/>
  <c r="D106" i="18"/>
  <c r="J123" i="18"/>
  <c r="J98" i="18"/>
  <c r="L98" i="18" s="1"/>
  <c r="J9" i="18"/>
  <c r="D9" i="18"/>
  <c r="J27" i="18"/>
  <c r="J12" i="18"/>
  <c r="K22" i="18"/>
  <c r="J7" i="18"/>
  <c r="J10" i="18"/>
  <c r="J8" i="18"/>
  <c r="D8" i="18"/>
  <c r="J76" i="18"/>
  <c r="H85" i="18"/>
  <c r="K117" i="18"/>
  <c r="D87" i="18"/>
  <c r="K123" i="18"/>
  <c r="H66" i="18"/>
  <c r="H86" i="18"/>
  <c r="J22" i="18"/>
  <c r="K86" i="18"/>
  <c r="L22" i="18" l="1"/>
  <c r="L77" i="18"/>
  <c r="L111" i="18"/>
  <c r="D45" i="18"/>
  <c r="L12" i="18"/>
  <c r="K96" i="18"/>
  <c r="L96" i="18" s="1"/>
  <c r="L27" i="18"/>
  <c r="H96" i="18"/>
  <c r="L87" i="18"/>
  <c r="L86" i="18"/>
  <c r="L119" i="18"/>
  <c r="L28" i="18"/>
  <c r="L107" i="18"/>
  <c r="L118" i="18"/>
  <c r="L97" i="18"/>
  <c r="L33" i="18"/>
  <c r="K64" i="18"/>
  <c r="J109" i="18"/>
  <c r="H109" i="18"/>
  <c r="L115" i="18"/>
  <c r="L76" i="18"/>
  <c r="L7" i="18"/>
  <c r="L106" i="18"/>
  <c r="L114" i="18"/>
  <c r="L11" i="18"/>
  <c r="L65" i="18"/>
  <c r="K109" i="18"/>
  <c r="L110" i="18"/>
  <c r="L66" i="18"/>
  <c r="L122" i="18"/>
  <c r="D96" i="18"/>
  <c r="L10" i="18"/>
  <c r="H64" i="18"/>
  <c r="J117" i="18"/>
  <c r="L117" i="18" s="1"/>
  <c r="D117" i="18"/>
  <c r="L32" i="18"/>
  <c r="L123" i="18"/>
  <c r="D109" i="18"/>
  <c r="D75" i="18"/>
  <c r="J75" i="18"/>
  <c r="L75" i="18" s="1"/>
  <c r="J85" i="18"/>
  <c r="L85" i="18" s="1"/>
  <c r="D64" i="18"/>
  <c r="J64" i="18"/>
  <c r="L64" i="18" s="1"/>
  <c r="C74" i="4"/>
  <c r="F74" i="4"/>
  <c r="E74" i="4"/>
  <c r="G74" i="4" s="1"/>
  <c r="B74" i="4"/>
  <c r="D74" i="4" s="1"/>
  <c r="F95" i="4"/>
  <c r="E95" i="4"/>
  <c r="G95" i="4" s="1"/>
  <c r="C95" i="4"/>
  <c r="K95" i="37"/>
  <c r="J95" i="37"/>
  <c r="L95" i="37" s="1"/>
  <c r="D95" i="16"/>
  <c r="D95" i="29"/>
  <c r="B95" i="4"/>
  <c r="D95" i="4" s="1"/>
  <c r="H95" i="16"/>
  <c r="K95" i="33"/>
  <c r="K95" i="29"/>
  <c r="J95" i="13"/>
  <c r="L95" i="13" s="1"/>
  <c r="J95" i="33"/>
  <c r="L95" i="33" s="1"/>
  <c r="J95" i="16"/>
  <c r="J95" i="29"/>
  <c r="L95" i="29" s="1"/>
  <c r="D95" i="37"/>
  <c r="D95" i="13"/>
  <c r="K95" i="13"/>
  <c r="K95" i="16"/>
  <c r="D95" i="33"/>
  <c r="K74" i="37"/>
  <c r="D74" i="16"/>
  <c r="D74" i="33"/>
  <c r="D74" i="37"/>
  <c r="K74" i="29"/>
  <c r="J74" i="13"/>
  <c r="L74" i="13" s="1"/>
  <c r="H74" i="16"/>
  <c r="J74" i="37"/>
  <c r="L74" i="37" s="1"/>
  <c r="D74" i="29"/>
  <c r="K74" i="33"/>
  <c r="K74" i="16"/>
  <c r="J74" i="16"/>
  <c r="J74" i="33"/>
  <c r="L74" i="33" s="1"/>
  <c r="J74" i="29"/>
  <c r="L74" i="29" s="1"/>
  <c r="D74" i="13"/>
  <c r="K74" i="13"/>
  <c r="J8" i="37"/>
  <c r="K8" i="37"/>
  <c r="J9" i="37"/>
  <c r="K9" i="37"/>
  <c r="J34" i="37"/>
  <c r="J35" i="37"/>
  <c r="I95" i="4" l="1"/>
  <c r="I74" i="4"/>
  <c r="L109" i="18"/>
  <c r="J77" i="37"/>
  <c r="J98" i="37"/>
  <c r="H32" i="37"/>
  <c r="D114" i="37"/>
  <c r="J122" i="37"/>
  <c r="H74" i="4"/>
  <c r="J74" i="4" s="1"/>
  <c r="H95" i="4"/>
  <c r="J95" i="4" s="1"/>
  <c r="L95" i="16"/>
  <c r="K12" i="37"/>
  <c r="K7" i="37"/>
  <c r="H111" i="37"/>
  <c r="L74" i="16"/>
  <c r="H115" i="37"/>
  <c r="J86" i="37"/>
  <c r="K73" i="37"/>
  <c r="K106" i="37"/>
  <c r="K94" i="37"/>
  <c r="K65" i="37"/>
  <c r="J33" i="37"/>
  <c r="J10" i="37"/>
  <c r="D7" i="37"/>
  <c r="K135" i="37"/>
  <c r="K133" i="37"/>
  <c r="K132" i="37"/>
  <c r="J119" i="37"/>
  <c r="D135" i="37"/>
  <c r="H119" i="37"/>
  <c r="K105" i="37"/>
  <c r="K97" i="37"/>
  <c r="J123" i="37"/>
  <c r="K114" i="37"/>
  <c r="K76" i="37"/>
  <c r="D8" i="37"/>
  <c r="H106" i="37"/>
  <c r="D65" i="37"/>
  <c r="J84" i="37"/>
  <c r="K27" i="37"/>
  <c r="H7" i="37"/>
  <c r="D133" i="37"/>
  <c r="H122" i="37"/>
  <c r="D106" i="37"/>
  <c r="D27" i="37"/>
  <c r="D123" i="37"/>
  <c r="K111" i="37"/>
  <c r="J106" i="37"/>
  <c r="D32" i="37"/>
  <c r="K10" i="37"/>
  <c r="K123" i="37"/>
  <c r="J115" i="37"/>
  <c r="J111" i="37"/>
  <c r="K134" i="37"/>
  <c r="J132" i="37"/>
  <c r="H33" i="37"/>
  <c r="J27" i="37"/>
  <c r="K11" i="37"/>
  <c r="J114" i="37"/>
  <c r="K107" i="37"/>
  <c r="D33" i="37"/>
  <c r="J12" i="37"/>
  <c r="J7" i="37"/>
  <c r="H73" i="37"/>
  <c r="D46" i="37"/>
  <c r="J135" i="37"/>
  <c r="K119" i="37"/>
  <c r="J65" i="37"/>
  <c r="H123" i="37"/>
  <c r="D122" i="37"/>
  <c r="H94" i="37"/>
  <c r="K86" i="37"/>
  <c r="D53" i="37"/>
  <c r="J32" i="37"/>
  <c r="D9" i="37"/>
  <c r="J105" i="37"/>
  <c r="D105" i="37"/>
  <c r="K122" i="37"/>
  <c r="D97" i="37"/>
  <c r="D132" i="37"/>
  <c r="D118" i="37"/>
  <c r="D98" i="37"/>
  <c r="J76" i="37"/>
  <c r="D76" i="37"/>
  <c r="J73" i="37"/>
  <c r="D73" i="37"/>
  <c r="J110" i="37"/>
  <c r="D110" i="37"/>
  <c r="J107" i="37"/>
  <c r="J133" i="37"/>
  <c r="D134" i="37"/>
  <c r="K118" i="37"/>
  <c r="J97" i="37"/>
  <c r="J94" i="37"/>
  <c r="D94" i="37"/>
  <c r="K84" i="37"/>
  <c r="J134" i="37"/>
  <c r="J118" i="37"/>
  <c r="H107" i="37"/>
  <c r="D84" i="37"/>
  <c r="K115" i="37"/>
  <c r="K110" i="37"/>
  <c r="D86" i="37"/>
  <c r="H11" i="37"/>
  <c r="D10" i="37"/>
  <c r="K33" i="37"/>
  <c r="D55" i="37"/>
  <c r="D52" i="37"/>
  <c r="K32" i="37"/>
  <c r="H12" i="37"/>
  <c r="K35" i="37"/>
  <c r="D35" i="37"/>
  <c r="H10" i="37"/>
  <c r="K34" i="37"/>
  <c r="D34" i="37"/>
  <c r="J11" i="37"/>
  <c r="J28" i="37" l="1"/>
  <c r="H28" i="37"/>
  <c r="L114" i="37"/>
  <c r="D87" i="37"/>
  <c r="K22" i="37"/>
  <c r="D47" i="37"/>
  <c r="H96" i="37"/>
  <c r="K87" i="37"/>
  <c r="K75" i="37"/>
  <c r="J22" i="37"/>
  <c r="H75" i="37"/>
  <c r="H22" i="37"/>
  <c r="K28" i="37"/>
  <c r="K98" i="37"/>
  <c r="L98" i="37" s="1"/>
  <c r="H98" i="37"/>
  <c r="K77" i="37"/>
  <c r="L77" i="37" s="1"/>
  <c r="H77" i="37"/>
  <c r="D28" i="37"/>
  <c r="D22" i="37"/>
  <c r="D85" i="37"/>
  <c r="J66" i="37"/>
  <c r="H66" i="37"/>
  <c r="D54" i="37"/>
  <c r="K85" i="37"/>
  <c r="L86" i="37"/>
  <c r="L122" i="37"/>
  <c r="L12" i="37"/>
  <c r="L76" i="37"/>
  <c r="K109" i="37"/>
  <c r="L7" i="37"/>
  <c r="L133" i="37"/>
  <c r="D51" i="37"/>
  <c r="L27" i="37"/>
  <c r="L28" i="37"/>
  <c r="L134" i="37"/>
  <c r="L94" i="37"/>
  <c r="L32" i="37"/>
  <c r="L107" i="37"/>
  <c r="L65" i="37"/>
  <c r="L97" i="37"/>
  <c r="L106" i="37"/>
  <c r="L132" i="37"/>
  <c r="L10" i="37"/>
  <c r="D45" i="37"/>
  <c r="L105" i="37"/>
  <c r="L73" i="37"/>
  <c r="K96" i="37"/>
  <c r="K117" i="37"/>
  <c r="H109" i="37"/>
  <c r="L84" i="37"/>
  <c r="L119" i="37"/>
  <c r="H117" i="37"/>
  <c r="L135" i="37"/>
  <c r="L33" i="37"/>
  <c r="L118" i="37"/>
  <c r="L11" i="37"/>
  <c r="D117" i="37"/>
  <c r="L115" i="37"/>
  <c r="L123" i="37"/>
  <c r="L111" i="37"/>
  <c r="J109" i="37"/>
  <c r="D109" i="37"/>
  <c r="J64" i="37"/>
  <c r="D64" i="37"/>
  <c r="D96" i="37"/>
  <c r="J117" i="37"/>
  <c r="L110" i="37"/>
  <c r="D75" i="37"/>
  <c r="G121" i="4"/>
  <c r="G113" i="4"/>
  <c r="G104" i="4"/>
  <c r="G103" i="4"/>
  <c r="G102" i="4"/>
  <c r="G101" i="4"/>
  <c r="G100" i="4"/>
  <c r="G99" i="4"/>
  <c r="G93" i="4"/>
  <c r="G92" i="4"/>
  <c r="G91" i="4"/>
  <c r="G90" i="4"/>
  <c r="G89" i="4"/>
  <c r="G88" i="4"/>
  <c r="G83" i="4"/>
  <c r="G82" i="4"/>
  <c r="G81" i="4"/>
  <c r="G80" i="4"/>
  <c r="G79" i="4"/>
  <c r="G78" i="4"/>
  <c r="G72" i="4"/>
  <c r="G71" i="4"/>
  <c r="G70" i="4"/>
  <c r="G69" i="4"/>
  <c r="G68" i="4"/>
  <c r="G67" i="4"/>
  <c r="G37" i="4"/>
  <c r="G36" i="4"/>
  <c r="G35" i="4"/>
  <c r="G34" i="4"/>
  <c r="G31" i="4"/>
  <c r="G30" i="4"/>
  <c r="G29" i="4"/>
  <c r="G26" i="4"/>
  <c r="G25" i="4"/>
  <c r="G24" i="4"/>
  <c r="G23" i="4"/>
  <c r="D121" i="4"/>
  <c r="D113" i="4"/>
  <c r="D104" i="4"/>
  <c r="D103" i="4"/>
  <c r="D102" i="4"/>
  <c r="D101" i="4"/>
  <c r="D100" i="4"/>
  <c r="D99" i="4"/>
  <c r="D93" i="4"/>
  <c r="D92" i="4"/>
  <c r="D91" i="4"/>
  <c r="D90" i="4"/>
  <c r="D89" i="4"/>
  <c r="D88" i="4"/>
  <c r="D83" i="4"/>
  <c r="D82" i="4"/>
  <c r="D81" i="4"/>
  <c r="D80" i="4"/>
  <c r="D79" i="4"/>
  <c r="D72" i="4"/>
  <c r="D71" i="4"/>
  <c r="D69" i="4"/>
  <c r="D68" i="4"/>
  <c r="D78" i="4"/>
  <c r="D70" i="4"/>
  <c r="D67" i="4"/>
  <c r="D50" i="4"/>
  <c r="D49" i="4"/>
  <c r="D48" i="4"/>
  <c r="D31" i="4"/>
  <c r="D30" i="4"/>
  <c r="D29" i="4"/>
  <c r="D26" i="4"/>
  <c r="D25" i="4"/>
  <c r="D24" i="4"/>
  <c r="D23" i="4"/>
  <c r="F121" i="4"/>
  <c r="E121" i="4"/>
  <c r="F113" i="4"/>
  <c r="E113" i="4"/>
  <c r="F104" i="4"/>
  <c r="E104" i="4"/>
  <c r="F103" i="4"/>
  <c r="E103" i="4"/>
  <c r="F102" i="4"/>
  <c r="E102" i="4"/>
  <c r="F101" i="4"/>
  <c r="E101" i="4"/>
  <c r="F100" i="4"/>
  <c r="E100" i="4"/>
  <c r="F99" i="4"/>
  <c r="E99" i="4"/>
  <c r="F93" i="4"/>
  <c r="E93" i="4"/>
  <c r="F92" i="4"/>
  <c r="E92" i="4"/>
  <c r="F91" i="4"/>
  <c r="E91" i="4"/>
  <c r="F90" i="4"/>
  <c r="E90" i="4"/>
  <c r="F89" i="4"/>
  <c r="E89" i="4"/>
  <c r="F88" i="4"/>
  <c r="E88" i="4"/>
  <c r="F83" i="4"/>
  <c r="E83" i="4"/>
  <c r="F82" i="4"/>
  <c r="E82" i="4"/>
  <c r="F81" i="4"/>
  <c r="E81" i="4"/>
  <c r="F80" i="4"/>
  <c r="E80" i="4"/>
  <c r="F79" i="4"/>
  <c r="E79" i="4"/>
  <c r="F78" i="4"/>
  <c r="E78" i="4"/>
  <c r="F72" i="4"/>
  <c r="E72" i="4"/>
  <c r="F71" i="4"/>
  <c r="E71" i="4"/>
  <c r="F70" i="4"/>
  <c r="E70" i="4"/>
  <c r="F69" i="4"/>
  <c r="E69" i="4"/>
  <c r="F68" i="4"/>
  <c r="E68" i="4"/>
  <c r="F67" i="4"/>
  <c r="E67" i="4"/>
  <c r="C121" i="4"/>
  <c r="B121" i="4"/>
  <c r="C113" i="4"/>
  <c r="B113" i="4"/>
  <c r="C102" i="4"/>
  <c r="B102" i="4"/>
  <c r="C99" i="4"/>
  <c r="B99" i="4"/>
  <c r="C91" i="4"/>
  <c r="B91" i="4"/>
  <c r="C88" i="4"/>
  <c r="B88" i="4"/>
  <c r="C81" i="4"/>
  <c r="B81" i="4"/>
  <c r="C78" i="4"/>
  <c r="B78" i="4"/>
  <c r="C70" i="4"/>
  <c r="B70" i="4"/>
  <c r="C67" i="4"/>
  <c r="B67" i="4"/>
  <c r="C50" i="4"/>
  <c r="B50" i="4"/>
  <c r="C49" i="4"/>
  <c r="B49" i="4"/>
  <c r="C48" i="4"/>
  <c r="B48" i="4"/>
  <c r="C31" i="4"/>
  <c r="B31" i="4"/>
  <c r="C30" i="4"/>
  <c r="B30" i="4"/>
  <c r="C29" i="4"/>
  <c r="B29" i="4"/>
  <c r="F31" i="4"/>
  <c r="E31" i="4"/>
  <c r="F30" i="4"/>
  <c r="E30" i="4"/>
  <c r="F29" i="4"/>
  <c r="E29" i="4"/>
  <c r="F23" i="4"/>
  <c r="F26" i="4"/>
  <c r="E26" i="4"/>
  <c r="F25" i="4"/>
  <c r="E25" i="4"/>
  <c r="F24" i="4"/>
  <c r="E24" i="4"/>
  <c r="E23" i="4"/>
  <c r="C26" i="4"/>
  <c r="C25" i="4"/>
  <c r="C24" i="4"/>
  <c r="C23" i="4"/>
  <c r="B26" i="4"/>
  <c r="B25" i="4"/>
  <c r="B24" i="4"/>
  <c r="B23" i="4"/>
  <c r="L22" i="37" l="1"/>
  <c r="J75" i="37"/>
  <c r="J96" i="37"/>
  <c r="L96" i="37" s="1"/>
  <c r="L75" i="37"/>
  <c r="K66" i="37"/>
  <c r="L66" i="37" s="1"/>
  <c r="H87" i="37"/>
  <c r="J87" i="37"/>
  <c r="L87" i="37" s="1"/>
  <c r="H85" i="37"/>
  <c r="L109" i="37"/>
  <c r="L117" i="37"/>
  <c r="J85" i="37" l="1"/>
  <c r="L85" i="37" s="1"/>
  <c r="H64" i="37"/>
  <c r="K64" i="37"/>
  <c r="L64"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C104" i="4" l="1"/>
  <c r="B104" i="4"/>
  <c r="C103" i="4"/>
  <c r="B103" i="4"/>
  <c r="C101" i="4"/>
  <c r="B101" i="4"/>
  <c r="C100" i="4"/>
  <c r="B100" i="4"/>
  <c r="C93" i="4"/>
  <c r="B93" i="4"/>
  <c r="C92" i="4"/>
  <c r="B92" i="4"/>
  <c r="C90" i="4"/>
  <c r="B90" i="4"/>
  <c r="C89" i="4"/>
  <c r="B89" i="4"/>
  <c r="C83" i="4"/>
  <c r="B83" i="4"/>
  <c r="C82" i="4"/>
  <c r="B82" i="4"/>
  <c r="C80" i="4"/>
  <c r="B80" i="4"/>
  <c r="C79" i="4"/>
  <c r="B79" i="4"/>
  <c r="C72" i="4"/>
  <c r="B72" i="4"/>
  <c r="C71" i="4"/>
  <c r="B71" i="4"/>
  <c r="C69" i="4"/>
  <c r="B69" i="4"/>
  <c r="C68" i="4"/>
  <c r="B68" i="4"/>
  <c r="F37" i="4"/>
  <c r="F36" i="4"/>
  <c r="F35" i="4"/>
  <c r="F34" i="4"/>
  <c r="E37" i="4"/>
  <c r="E36" i="4"/>
  <c r="F34" i="10" s="1"/>
  <c r="E35" i="4"/>
  <c r="F26" i="10" s="1"/>
  <c r="E34" i="4"/>
  <c r="F16" i="10" s="1"/>
  <c r="G16" i="10" l="1"/>
  <c r="G26" i="10"/>
  <c r="G34" i="10"/>
  <c r="F9" i="4"/>
  <c r="F8" i="4"/>
  <c r="E9" i="4"/>
  <c r="E8" i="4"/>
  <c r="H30" i="58" l="1"/>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H37" i="58" s="1"/>
  <c r="F38" i="58"/>
  <c r="F34" i="58"/>
  <c r="H34" i="58" l="1"/>
  <c r="H36" i="58"/>
  <c r="G32" i="58"/>
  <c r="H38" i="58"/>
  <c r="H35" i="58"/>
  <c r="F32" i="58"/>
  <c r="H32" i="58" l="1"/>
  <c r="G56" i="10" l="1"/>
  <c r="G60" i="10"/>
  <c r="F60" i="10" l="1"/>
  <c r="F56" i="10"/>
  <c r="K28" i="10" l="1"/>
  <c r="J28" i="10"/>
  <c r="K9" i="33" l="1"/>
  <c r="K9" i="29"/>
  <c r="K8" i="51"/>
  <c r="K8" i="29"/>
  <c r="K8" i="33"/>
  <c r="K9" i="51"/>
  <c r="K8" i="25"/>
  <c r="K8" i="24"/>
  <c r="K9" i="25"/>
  <c r="K9" i="24"/>
  <c r="K8" i="22"/>
  <c r="K9" i="22"/>
  <c r="K9" i="20"/>
  <c r="K8" i="20"/>
  <c r="K8" i="19"/>
  <c r="J34" i="13"/>
  <c r="K9" i="19"/>
  <c r="K37" i="13"/>
  <c r="K35" i="13"/>
  <c r="J37" i="13"/>
  <c r="J35" i="13"/>
  <c r="K34" i="13"/>
  <c r="K8" i="13"/>
  <c r="K9" i="13"/>
  <c r="D22" i="16"/>
  <c r="K36" i="16"/>
  <c r="J36" i="16"/>
  <c r="K35" i="16"/>
  <c r="J35" i="16"/>
  <c r="J37" i="16"/>
  <c r="K34" i="16"/>
  <c r="J34" i="16"/>
  <c r="K37" i="16"/>
  <c r="K133" i="26" l="1"/>
  <c r="K7" i="35"/>
  <c r="H28" i="29"/>
  <c r="K119" i="13"/>
  <c r="H119" i="33"/>
  <c r="J133" i="13"/>
  <c r="H28" i="20"/>
  <c r="H123" i="33"/>
  <c r="H66" i="29"/>
  <c r="K111" i="33"/>
  <c r="H66" i="35"/>
  <c r="H120" i="33"/>
  <c r="L34" i="16"/>
  <c r="L37" i="16"/>
  <c r="L35" i="16"/>
  <c r="L36" i="16"/>
  <c r="D119" i="16"/>
  <c r="D132" i="16"/>
  <c r="H28" i="13"/>
  <c r="K66" i="20"/>
  <c r="K12" i="29"/>
  <c r="J84" i="29"/>
  <c r="K106" i="33"/>
  <c r="H22" i="33"/>
  <c r="K66" i="33"/>
  <c r="H33" i="29"/>
  <c r="D122" i="16"/>
  <c r="H32" i="13"/>
  <c r="D86" i="16"/>
  <c r="D35" i="16"/>
  <c r="D133" i="16"/>
  <c r="H98" i="16"/>
  <c r="H115" i="16"/>
  <c r="H119" i="27"/>
  <c r="D53" i="39"/>
  <c r="K87" i="27"/>
  <c r="K106" i="27"/>
  <c r="H119" i="35"/>
  <c r="K22" i="51"/>
  <c r="K133" i="34"/>
  <c r="K132" i="26"/>
  <c r="K111" i="29"/>
  <c r="H98" i="29"/>
  <c r="H42" i="9"/>
  <c r="K135" i="26"/>
  <c r="K114" i="29"/>
  <c r="J77" i="29"/>
  <c r="H32" i="16"/>
  <c r="H124" i="16"/>
  <c r="D123" i="16"/>
  <c r="H116" i="16"/>
  <c r="K27" i="51"/>
  <c r="H87" i="29"/>
  <c r="K12" i="33"/>
  <c r="K114" i="33"/>
  <c r="H132" i="16"/>
  <c r="H32" i="33"/>
  <c r="H119" i="16"/>
  <c r="H22" i="16"/>
  <c r="H12" i="33"/>
  <c r="H112" i="16"/>
  <c r="H33" i="16"/>
  <c r="H77" i="27"/>
  <c r="H123" i="29"/>
  <c r="D135" i="16"/>
  <c r="H7" i="16"/>
  <c r="K106" i="23"/>
  <c r="D53" i="22"/>
  <c r="K22" i="23"/>
  <c r="K98" i="27"/>
  <c r="H40" i="9"/>
  <c r="K105" i="33"/>
  <c r="K98" i="33"/>
  <c r="K73" i="33"/>
  <c r="K120" i="33"/>
  <c r="H28" i="16"/>
  <c r="D124" i="16"/>
  <c r="H84" i="35"/>
  <c r="K112" i="33"/>
  <c r="H134" i="16"/>
  <c r="H28" i="33"/>
  <c r="D56" i="39"/>
  <c r="H73" i="33"/>
  <c r="H118" i="16"/>
  <c r="D34" i="16"/>
  <c r="D12" i="16"/>
  <c r="H11" i="16"/>
  <c r="D76" i="16"/>
  <c r="D110" i="16"/>
  <c r="D112" i="16"/>
  <c r="H65" i="16"/>
  <c r="D11" i="16"/>
  <c r="D35" i="13"/>
  <c r="K87" i="20"/>
  <c r="H98" i="20"/>
  <c r="K87" i="23"/>
  <c r="K66" i="23"/>
  <c r="K122" i="23"/>
  <c r="K27" i="24"/>
  <c r="H133" i="26"/>
  <c r="H22" i="29"/>
  <c r="K111" i="35"/>
  <c r="K12" i="35"/>
  <c r="K107" i="35"/>
  <c r="H12" i="35"/>
  <c r="H94" i="33"/>
  <c r="H115" i="33"/>
  <c r="K98" i="20"/>
  <c r="K27" i="25"/>
  <c r="K94" i="33"/>
  <c r="H33" i="33"/>
  <c r="D47" i="33"/>
  <c r="K115" i="33"/>
  <c r="H98" i="27"/>
  <c r="H107" i="35"/>
  <c r="K27" i="23"/>
  <c r="H41" i="9"/>
  <c r="K111" i="20"/>
  <c r="K107" i="27"/>
  <c r="K87" i="33"/>
  <c r="K11" i="35"/>
  <c r="H111" i="35"/>
  <c r="H135" i="16"/>
  <c r="H77" i="16"/>
  <c r="D77" i="16"/>
  <c r="D73" i="16"/>
  <c r="H120" i="16"/>
  <c r="D97" i="16"/>
  <c r="D55" i="16"/>
  <c r="H27" i="16"/>
  <c r="D33" i="16"/>
  <c r="D27" i="16"/>
  <c r="H133" i="16"/>
  <c r="H94" i="16"/>
  <c r="D28" i="16"/>
  <c r="H108" i="16"/>
  <c r="D108" i="16"/>
  <c r="D116" i="16"/>
  <c r="D107" i="16"/>
  <c r="D115" i="16"/>
  <c r="H73" i="16"/>
  <c r="D9" i="16"/>
  <c r="H97" i="16"/>
  <c r="H111" i="16"/>
  <c r="D10" i="16"/>
  <c r="D37" i="16"/>
  <c r="D56" i="16"/>
  <c r="H110" i="16"/>
  <c r="D52" i="16"/>
  <c r="H86" i="16"/>
  <c r="D120" i="16"/>
  <c r="H107" i="16"/>
  <c r="H106" i="16"/>
  <c r="H114" i="16"/>
  <c r="H10" i="16"/>
  <c r="D84" i="16"/>
  <c r="D8" i="16"/>
  <c r="H76" i="16"/>
  <c r="D111" i="16"/>
  <c r="D134" i="16"/>
  <c r="D47" i="16"/>
  <c r="H87" i="16"/>
  <c r="D7" i="16"/>
  <c r="D53" i="16"/>
  <c r="D105" i="16"/>
  <c r="D32" i="16"/>
  <c r="H12" i="16"/>
  <c r="H105" i="16"/>
  <c r="D36" i="16"/>
  <c r="D94" i="16"/>
  <c r="D46" i="16"/>
  <c r="H84" i="16"/>
  <c r="D118" i="16"/>
  <c r="D65" i="16"/>
  <c r="H66" i="16"/>
  <c r="D87" i="16"/>
  <c r="D66" i="16"/>
  <c r="D98" i="16"/>
  <c r="D106" i="16"/>
  <c r="H123" i="16"/>
  <c r="H122" i="16"/>
  <c r="D114" i="16"/>
  <c r="H98" i="23"/>
  <c r="C37" i="9"/>
  <c r="B28" i="4"/>
  <c r="B21" i="10" s="1"/>
  <c r="K107" i="23"/>
  <c r="H107" i="27"/>
  <c r="K10" i="35"/>
  <c r="K32" i="13"/>
  <c r="K105" i="13"/>
  <c r="K119" i="23"/>
  <c r="H107" i="23"/>
  <c r="H22" i="23"/>
  <c r="C40" i="9"/>
  <c r="H87" i="35"/>
  <c r="C42" i="9"/>
  <c r="H98" i="33"/>
  <c r="H66" i="33"/>
  <c r="K123" i="33"/>
  <c r="D47" i="39"/>
  <c r="K7" i="13"/>
  <c r="K7" i="19"/>
  <c r="K10" i="29"/>
  <c r="H7" i="23"/>
  <c r="H7" i="29"/>
  <c r="H7" i="33"/>
  <c r="K10" i="33"/>
  <c r="H10" i="13"/>
  <c r="K7" i="23"/>
  <c r="K11" i="33"/>
  <c r="K7" i="29"/>
  <c r="H10" i="35"/>
  <c r="H11" i="13"/>
  <c r="H87" i="20"/>
  <c r="K22" i="13"/>
  <c r="K28" i="13"/>
  <c r="H77" i="13"/>
  <c r="K98" i="13"/>
  <c r="K114" i="13"/>
  <c r="K10" i="13"/>
  <c r="H119" i="13"/>
  <c r="K7" i="20"/>
  <c r="K10" i="20"/>
  <c r="C39" i="9"/>
  <c r="K22" i="24"/>
  <c r="D47" i="26"/>
  <c r="K11" i="29"/>
  <c r="H22" i="35"/>
  <c r="H111" i="29"/>
  <c r="H7" i="35"/>
  <c r="H11" i="35"/>
  <c r="K7" i="33"/>
  <c r="H87" i="33"/>
  <c r="H105" i="33"/>
  <c r="K119" i="33"/>
  <c r="H87" i="13"/>
  <c r="K107" i="13"/>
  <c r="K65" i="13"/>
  <c r="K11" i="13"/>
  <c r="H22" i="20"/>
  <c r="H111" i="33"/>
  <c r="H105" i="35"/>
  <c r="H12" i="23"/>
  <c r="H134" i="26"/>
  <c r="H87" i="27"/>
  <c r="K27" i="29"/>
  <c r="K32" i="29"/>
  <c r="H132" i="26"/>
  <c r="K115" i="29"/>
  <c r="H33" i="35"/>
  <c r="H77" i="23"/>
  <c r="H87" i="23"/>
  <c r="H115" i="23"/>
  <c r="K33" i="29"/>
  <c r="H115" i="29"/>
  <c r="D47" i="13"/>
  <c r="H38" i="9"/>
  <c r="H44" i="9"/>
  <c r="D37" i="13"/>
  <c r="H22" i="13"/>
  <c r="H111" i="20"/>
  <c r="H7" i="13"/>
  <c r="B135" i="4"/>
  <c r="B44" i="10" s="1"/>
  <c r="K33" i="13"/>
  <c r="K106" i="13"/>
  <c r="K12" i="13"/>
  <c r="H105" i="13"/>
  <c r="C43" i="9"/>
  <c r="C44" i="9"/>
  <c r="H37" i="9"/>
  <c r="H39" i="9"/>
  <c r="C41" i="9"/>
  <c r="D46" i="13"/>
  <c r="J10" i="13"/>
  <c r="D10" i="13"/>
  <c r="K27" i="13"/>
  <c r="K66" i="13"/>
  <c r="K110" i="13"/>
  <c r="K115" i="13"/>
  <c r="D133" i="13"/>
  <c r="K133" i="13"/>
  <c r="H33" i="13"/>
  <c r="B35" i="9"/>
  <c r="H107" i="13"/>
  <c r="J87" i="13"/>
  <c r="D87" i="13"/>
  <c r="D11" i="13"/>
  <c r="J11" i="13"/>
  <c r="J9" i="19"/>
  <c r="D9" i="19"/>
  <c r="B34" i="9"/>
  <c r="K111" i="13"/>
  <c r="J9" i="13"/>
  <c r="D9" i="13"/>
  <c r="H66" i="13"/>
  <c r="G11" i="9"/>
  <c r="J86" i="13"/>
  <c r="D86" i="13"/>
  <c r="H98" i="13"/>
  <c r="H12" i="13"/>
  <c r="C34" i="9"/>
  <c r="H34" i="9"/>
  <c r="G34" i="9"/>
  <c r="D76" i="13"/>
  <c r="J76" i="13"/>
  <c r="J12" i="13"/>
  <c r="D12" i="13"/>
  <c r="H75" i="13"/>
  <c r="K118" i="13"/>
  <c r="C35" i="9"/>
  <c r="K86" i="13"/>
  <c r="H11" i="9"/>
  <c r="H35" i="9"/>
  <c r="H115" i="13"/>
  <c r="H13" i="9"/>
  <c r="D33" i="13"/>
  <c r="J33" i="13"/>
  <c r="J66" i="13"/>
  <c r="K84" i="13"/>
  <c r="K87" i="13"/>
  <c r="J105" i="13"/>
  <c r="D105" i="13"/>
  <c r="D110" i="13"/>
  <c r="J110" i="13"/>
  <c r="J115" i="13"/>
  <c r="D84" i="13"/>
  <c r="J84" i="13"/>
  <c r="J123" i="13"/>
  <c r="G10" i="9"/>
  <c r="D8" i="20"/>
  <c r="J8" i="20"/>
  <c r="J77" i="13"/>
  <c r="D97" i="13"/>
  <c r="J97" i="13"/>
  <c r="J122" i="13"/>
  <c r="D122" i="13"/>
  <c r="H106" i="13"/>
  <c r="H111" i="13"/>
  <c r="J66" i="20"/>
  <c r="D66" i="20"/>
  <c r="J98" i="20"/>
  <c r="D98" i="20"/>
  <c r="D34" i="13"/>
  <c r="D52" i="13"/>
  <c r="D106" i="13"/>
  <c r="J106" i="13"/>
  <c r="J111" i="13"/>
  <c r="K122" i="13"/>
  <c r="H12" i="9"/>
  <c r="J7" i="20"/>
  <c r="D7" i="20"/>
  <c r="J7" i="13"/>
  <c r="D7" i="13"/>
  <c r="D22" i="13"/>
  <c r="J22" i="13"/>
  <c r="J28" i="13"/>
  <c r="D28" i="13"/>
  <c r="D55" i="13"/>
  <c r="K76" i="13"/>
  <c r="K97" i="13"/>
  <c r="D107" i="13"/>
  <c r="J107" i="13"/>
  <c r="J118" i="13"/>
  <c r="D118" i="13"/>
  <c r="H123" i="13"/>
  <c r="J10" i="20"/>
  <c r="D10" i="20"/>
  <c r="J7" i="19"/>
  <c r="D7" i="19"/>
  <c r="J27" i="20"/>
  <c r="D27" i="20"/>
  <c r="B36" i="9"/>
  <c r="K77" i="20"/>
  <c r="H36" i="9"/>
  <c r="K119" i="20"/>
  <c r="G12" i="9"/>
  <c r="H75" i="20"/>
  <c r="D52" i="22"/>
  <c r="D22" i="23"/>
  <c r="J22" i="23"/>
  <c r="D27" i="24"/>
  <c r="J27" i="24"/>
  <c r="D27" i="25"/>
  <c r="J27" i="25"/>
  <c r="J98" i="27"/>
  <c r="J122" i="23"/>
  <c r="D122" i="23"/>
  <c r="J110" i="23"/>
  <c r="D110" i="23"/>
  <c r="J22" i="24"/>
  <c r="D22" i="24"/>
  <c r="G20" i="9"/>
  <c r="J86" i="27"/>
  <c r="D86" i="27"/>
  <c r="D8" i="22"/>
  <c r="J8" i="22"/>
  <c r="D28" i="23"/>
  <c r="J28" i="23"/>
  <c r="G37" i="9"/>
  <c r="K110" i="23"/>
  <c r="D7" i="24"/>
  <c r="J7" i="24"/>
  <c r="J22" i="51"/>
  <c r="L22" i="51" s="1"/>
  <c r="D22" i="51"/>
  <c r="G21" i="9"/>
  <c r="K11" i="23"/>
  <c r="K33" i="23"/>
  <c r="D115" i="23"/>
  <c r="J115" i="23"/>
  <c r="K28" i="24"/>
  <c r="D46" i="25"/>
  <c r="D9" i="22"/>
  <c r="J9" i="22"/>
  <c r="K12" i="23"/>
  <c r="K65" i="23"/>
  <c r="D76" i="23"/>
  <c r="K76" i="23"/>
  <c r="J106" i="23"/>
  <c r="D106" i="23"/>
  <c r="H111" i="23"/>
  <c r="J66" i="27"/>
  <c r="K86" i="27"/>
  <c r="H20" i="9"/>
  <c r="D65" i="29"/>
  <c r="K65" i="29"/>
  <c r="J73" i="33"/>
  <c r="D73" i="33"/>
  <c r="D46" i="26"/>
  <c r="H19" i="9"/>
  <c r="K65" i="27"/>
  <c r="J77" i="27"/>
  <c r="J119" i="27"/>
  <c r="D46" i="51"/>
  <c r="G23" i="9"/>
  <c r="J27" i="29"/>
  <c r="D27" i="29"/>
  <c r="B41" i="9"/>
  <c r="D134" i="26"/>
  <c r="J134" i="26"/>
  <c r="H66" i="27"/>
  <c r="H115" i="27"/>
  <c r="D7" i="29"/>
  <c r="J7" i="29"/>
  <c r="J10" i="35"/>
  <c r="D12" i="29"/>
  <c r="J12" i="29"/>
  <c r="H12" i="29"/>
  <c r="J107" i="29"/>
  <c r="D107" i="29"/>
  <c r="K118" i="29"/>
  <c r="D66" i="29"/>
  <c r="J66" i="29"/>
  <c r="D84" i="29"/>
  <c r="K84" i="29"/>
  <c r="K87" i="29"/>
  <c r="K105" i="29"/>
  <c r="J110" i="29"/>
  <c r="D110" i="29"/>
  <c r="D114" i="29"/>
  <c r="J114" i="29"/>
  <c r="H119" i="29"/>
  <c r="J7" i="35"/>
  <c r="K22" i="35"/>
  <c r="K28" i="35"/>
  <c r="J10" i="33"/>
  <c r="D10" i="33"/>
  <c r="J66" i="33"/>
  <c r="D66" i="33"/>
  <c r="D52" i="33"/>
  <c r="J84" i="35"/>
  <c r="J87" i="35"/>
  <c r="J105" i="35"/>
  <c r="J22" i="36"/>
  <c r="J28" i="36"/>
  <c r="J98" i="36"/>
  <c r="D55" i="33"/>
  <c r="K76" i="33"/>
  <c r="K75" i="33"/>
  <c r="K110" i="33"/>
  <c r="K119" i="35"/>
  <c r="J118" i="36"/>
  <c r="J123" i="36"/>
  <c r="J8" i="33"/>
  <c r="D8" i="33"/>
  <c r="H11" i="33"/>
  <c r="K33" i="33"/>
  <c r="D53" i="33"/>
  <c r="D94" i="33"/>
  <c r="J94" i="33"/>
  <c r="J106" i="33"/>
  <c r="D106" i="33"/>
  <c r="H110" i="33"/>
  <c r="K108" i="33"/>
  <c r="D114" i="33"/>
  <c r="J114" i="33"/>
  <c r="D52" i="39"/>
  <c r="J8" i="13"/>
  <c r="D8" i="13"/>
  <c r="J27" i="13"/>
  <c r="D27" i="13"/>
  <c r="J32" i="13"/>
  <c r="D32" i="13"/>
  <c r="D65" i="13"/>
  <c r="J65" i="13"/>
  <c r="K77" i="13"/>
  <c r="G35" i="9"/>
  <c r="D98" i="13"/>
  <c r="J98" i="13"/>
  <c r="J114" i="13"/>
  <c r="D114" i="13"/>
  <c r="J119" i="13"/>
  <c r="D111" i="20"/>
  <c r="J111" i="20"/>
  <c r="K123" i="13"/>
  <c r="J8" i="19"/>
  <c r="D8" i="19"/>
  <c r="D77" i="20"/>
  <c r="J77" i="20"/>
  <c r="J119" i="20"/>
  <c r="D119" i="20"/>
  <c r="D55" i="22"/>
  <c r="J9" i="20"/>
  <c r="D9" i="20"/>
  <c r="H66" i="20"/>
  <c r="K22" i="20"/>
  <c r="K28" i="20"/>
  <c r="C36" i="9"/>
  <c r="H77" i="20"/>
  <c r="G13" i="9"/>
  <c r="H119" i="20"/>
  <c r="J111" i="23"/>
  <c r="J123" i="27"/>
  <c r="K7" i="22"/>
  <c r="J12" i="35"/>
  <c r="D47" i="22"/>
  <c r="J10" i="23"/>
  <c r="J32" i="23"/>
  <c r="K111" i="23"/>
  <c r="J123" i="23"/>
  <c r="J8" i="24"/>
  <c r="D8" i="24"/>
  <c r="G17" i="9"/>
  <c r="M66" i="8" s="1"/>
  <c r="J7" i="25"/>
  <c r="D7" i="25"/>
  <c r="J12" i="23"/>
  <c r="J76" i="23"/>
  <c r="H110" i="23"/>
  <c r="D116" i="23"/>
  <c r="K7" i="24"/>
  <c r="D10" i="24"/>
  <c r="J10" i="24"/>
  <c r="H28" i="23"/>
  <c r="J66" i="23"/>
  <c r="K77" i="23"/>
  <c r="J86" i="23"/>
  <c r="G16" i="9"/>
  <c r="M65" i="8" s="1"/>
  <c r="D86" i="23"/>
  <c r="K97" i="23"/>
  <c r="J107" i="23"/>
  <c r="K118" i="23"/>
  <c r="K10" i="24"/>
  <c r="C38" i="9"/>
  <c r="D46" i="40"/>
  <c r="J28" i="29"/>
  <c r="D28" i="29"/>
  <c r="G19" i="9"/>
  <c r="D110" i="27"/>
  <c r="J110" i="27"/>
  <c r="J115" i="27"/>
  <c r="D46" i="41"/>
  <c r="K66" i="27"/>
  <c r="K110" i="27"/>
  <c r="K115" i="27"/>
  <c r="D132" i="26"/>
  <c r="J132" i="26"/>
  <c r="D135" i="26"/>
  <c r="J135" i="26"/>
  <c r="H111" i="27"/>
  <c r="K7" i="51"/>
  <c r="K10" i="51"/>
  <c r="J76" i="29"/>
  <c r="D76" i="29"/>
  <c r="J22" i="29"/>
  <c r="D22" i="29"/>
  <c r="K66" i="29"/>
  <c r="J86" i="29"/>
  <c r="G24" i="9"/>
  <c r="D86" i="29"/>
  <c r="J11" i="33"/>
  <c r="J119" i="29"/>
  <c r="D119" i="29"/>
  <c r="J132" i="34"/>
  <c r="D132" i="34"/>
  <c r="H28" i="35"/>
  <c r="K106" i="29"/>
  <c r="K122" i="29"/>
  <c r="D46" i="34"/>
  <c r="G25" i="9"/>
  <c r="J22" i="35"/>
  <c r="J28" i="35"/>
  <c r="H75" i="29"/>
  <c r="H105" i="29"/>
  <c r="K110" i="29"/>
  <c r="J115" i="29"/>
  <c r="D115" i="29"/>
  <c r="J133" i="34"/>
  <c r="D133" i="34"/>
  <c r="K32" i="35"/>
  <c r="J115" i="35"/>
  <c r="J9" i="33"/>
  <c r="D9" i="33"/>
  <c r="J76" i="33"/>
  <c r="D76" i="33"/>
  <c r="J22" i="33"/>
  <c r="D22" i="33"/>
  <c r="J28" i="33"/>
  <c r="D28" i="33"/>
  <c r="J65" i="33"/>
  <c r="B43" i="9"/>
  <c r="K77" i="33"/>
  <c r="H43" i="9"/>
  <c r="K84" i="35"/>
  <c r="K87" i="35"/>
  <c r="K105" i="35"/>
  <c r="H115" i="35"/>
  <c r="J119" i="36"/>
  <c r="H75" i="33"/>
  <c r="J97" i="33"/>
  <c r="D97" i="33"/>
  <c r="D107" i="33"/>
  <c r="J107" i="33"/>
  <c r="D46" i="38"/>
  <c r="G44" i="9"/>
  <c r="H30" i="9"/>
  <c r="J110" i="33"/>
  <c r="D110" i="33"/>
  <c r="D115" i="33"/>
  <c r="J115" i="33"/>
  <c r="D46" i="39"/>
  <c r="D45" i="39"/>
  <c r="K27" i="20"/>
  <c r="J87" i="20"/>
  <c r="D87" i="20"/>
  <c r="J27" i="23"/>
  <c r="D27" i="23"/>
  <c r="D46" i="21"/>
  <c r="D55" i="25"/>
  <c r="J11" i="23"/>
  <c r="J33" i="23"/>
  <c r="J8" i="25"/>
  <c r="D8" i="25"/>
  <c r="J9" i="51"/>
  <c r="D9" i="51"/>
  <c r="K28" i="23"/>
  <c r="J65" i="23"/>
  <c r="D65" i="23"/>
  <c r="J77" i="23"/>
  <c r="J97" i="23"/>
  <c r="D97" i="23"/>
  <c r="J118" i="23"/>
  <c r="D118" i="23"/>
  <c r="K123" i="23"/>
  <c r="K7" i="25"/>
  <c r="D46" i="22"/>
  <c r="H10" i="23"/>
  <c r="H32" i="23"/>
  <c r="J87" i="23"/>
  <c r="K98" i="23"/>
  <c r="K114" i="23"/>
  <c r="J119" i="23"/>
  <c r="H123" i="23"/>
  <c r="J9" i="24"/>
  <c r="D9" i="24"/>
  <c r="D52" i="25"/>
  <c r="D97" i="27"/>
  <c r="J97" i="27"/>
  <c r="J111" i="27"/>
  <c r="D55" i="41"/>
  <c r="K111" i="27"/>
  <c r="J7" i="51"/>
  <c r="D7" i="51"/>
  <c r="D10" i="51"/>
  <c r="J10" i="51"/>
  <c r="L10" i="51" s="1"/>
  <c r="H22" i="9"/>
  <c r="J32" i="29"/>
  <c r="D32" i="29"/>
  <c r="K76" i="27"/>
  <c r="K75" i="27"/>
  <c r="K118" i="27"/>
  <c r="H123" i="27"/>
  <c r="D10" i="29"/>
  <c r="J10" i="29"/>
  <c r="J87" i="29"/>
  <c r="D87" i="29"/>
  <c r="J11" i="35"/>
  <c r="H23" i="9"/>
  <c r="H10" i="29"/>
  <c r="K22" i="29"/>
  <c r="K28" i="29"/>
  <c r="J118" i="29"/>
  <c r="D118" i="29"/>
  <c r="J105" i="29"/>
  <c r="D105" i="29"/>
  <c r="H32" i="35"/>
  <c r="K76" i="29"/>
  <c r="K97" i="29"/>
  <c r="K107" i="29"/>
  <c r="J123" i="29"/>
  <c r="D123" i="29"/>
  <c r="K132" i="34"/>
  <c r="J32" i="35"/>
  <c r="J66" i="35"/>
  <c r="H28" i="9"/>
  <c r="H77" i="29"/>
  <c r="J111" i="29"/>
  <c r="K123" i="29"/>
  <c r="K33" i="35"/>
  <c r="K66" i="35"/>
  <c r="D46" i="33"/>
  <c r="K115" i="35"/>
  <c r="G26" i="9"/>
  <c r="J86" i="36"/>
  <c r="D65" i="33"/>
  <c r="K65" i="33"/>
  <c r="J77" i="33"/>
  <c r="D77" i="33"/>
  <c r="J106" i="36"/>
  <c r="J27" i="33"/>
  <c r="D27" i="33"/>
  <c r="J32" i="33"/>
  <c r="D32" i="33"/>
  <c r="K84" i="33"/>
  <c r="D120" i="33"/>
  <c r="J120" i="33"/>
  <c r="J111" i="35"/>
  <c r="K22" i="33"/>
  <c r="K28" i="33"/>
  <c r="H77" i="33"/>
  <c r="J86" i="33"/>
  <c r="D86" i="33"/>
  <c r="G27" i="9"/>
  <c r="J98" i="33"/>
  <c r="D98" i="33"/>
  <c r="D111" i="33"/>
  <c r="J111" i="33"/>
  <c r="C30" i="9"/>
  <c r="D55" i="39"/>
  <c r="D52" i="21"/>
  <c r="D51" i="21"/>
  <c r="J22" i="20"/>
  <c r="D22" i="20"/>
  <c r="J28" i="20"/>
  <c r="D28" i="20"/>
  <c r="D46" i="20"/>
  <c r="K75" i="20"/>
  <c r="J7" i="23"/>
  <c r="G15" i="9"/>
  <c r="G14" i="9"/>
  <c r="K86" i="23"/>
  <c r="J33" i="29"/>
  <c r="D33" i="29"/>
  <c r="D7" i="22"/>
  <c r="J7" i="22"/>
  <c r="H119" i="23"/>
  <c r="J28" i="24"/>
  <c r="D28" i="24"/>
  <c r="H18" i="9"/>
  <c r="J87" i="27"/>
  <c r="K10" i="23"/>
  <c r="K32" i="23"/>
  <c r="H66" i="23"/>
  <c r="J98" i="23"/>
  <c r="D114" i="23"/>
  <c r="J114" i="23"/>
  <c r="J106" i="27"/>
  <c r="D106" i="27"/>
  <c r="J27" i="51"/>
  <c r="L27" i="51" s="1"/>
  <c r="D27" i="51"/>
  <c r="H11" i="23"/>
  <c r="H33" i="23"/>
  <c r="K115" i="23"/>
  <c r="J9" i="25"/>
  <c r="D9" i="25"/>
  <c r="H75" i="27"/>
  <c r="J107" i="27"/>
  <c r="D65" i="27"/>
  <c r="J65" i="27"/>
  <c r="K97" i="27"/>
  <c r="K123" i="27"/>
  <c r="G22" i="9"/>
  <c r="K134" i="26"/>
  <c r="J76" i="27"/>
  <c r="D76" i="27"/>
  <c r="D118" i="27"/>
  <c r="J118" i="27"/>
  <c r="J8" i="51"/>
  <c r="D8" i="51"/>
  <c r="G18" i="9"/>
  <c r="D133" i="26"/>
  <c r="J133" i="26"/>
  <c r="K77" i="27"/>
  <c r="K119" i="27"/>
  <c r="D55" i="40"/>
  <c r="D52" i="41"/>
  <c r="D51" i="41"/>
  <c r="J8" i="29"/>
  <c r="D8" i="29"/>
  <c r="J11" i="29"/>
  <c r="B40" i="9"/>
  <c r="J97" i="29"/>
  <c r="D97" i="29"/>
  <c r="D9" i="29"/>
  <c r="J9" i="29"/>
  <c r="H11" i="29"/>
  <c r="H32" i="29"/>
  <c r="J98" i="29"/>
  <c r="D98" i="29"/>
  <c r="J106" i="29"/>
  <c r="D106" i="29"/>
  <c r="D122" i="29"/>
  <c r="J122" i="29"/>
  <c r="J12" i="33"/>
  <c r="D123" i="33"/>
  <c r="J123" i="33"/>
  <c r="J65" i="29"/>
  <c r="D77" i="29"/>
  <c r="K77" i="29"/>
  <c r="K86" i="29"/>
  <c r="K98" i="29"/>
  <c r="K119" i="29"/>
  <c r="J33" i="35"/>
  <c r="K97" i="33"/>
  <c r="K96" i="33"/>
  <c r="H84" i="29"/>
  <c r="H107" i="29"/>
  <c r="K86" i="33"/>
  <c r="J87" i="36"/>
  <c r="J84" i="33"/>
  <c r="D119" i="33"/>
  <c r="J119" i="33"/>
  <c r="J119" i="35"/>
  <c r="J97" i="36"/>
  <c r="J107" i="36"/>
  <c r="J33" i="33"/>
  <c r="D33" i="33"/>
  <c r="J107" i="35"/>
  <c r="J122" i="36"/>
  <c r="J7" i="33"/>
  <c r="D7" i="33"/>
  <c r="H10" i="33"/>
  <c r="K27" i="33"/>
  <c r="K32" i="33"/>
  <c r="H84" i="33"/>
  <c r="J87" i="33"/>
  <c r="D87" i="33"/>
  <c r="J105" i="33"/>
  <c r="J108" i="33"/>
  <c r="L108" i="33" s="1"/>
  <c r="D108" i="33"/>
  <c r="K107" i="33"/>
  <c r="H107" i="33"/>
  <c r="J112" i="33"/>
  <c r="D112" i="33"/>
  <c r="G28" i="9"/>
  <c r="G29" i="9"/>
  <c r="G30" i="9"/>
  <c r="K98" i="16"/>
  <c r="B10" i="4"/>
  <c r="B20" i="10" s="1"/>
  <c r="C55" i="4"/>
  <c r="F124" i="4"/>
  <c r="B107" i="4"/>
  <c r="C34" i="4"/>
  <c r="B73" i="4"/>
  <c r="B132" i="4"/>
  <c r="B15" i="10" s="1"/>
  <c r="C111" i="4"/>
  <c r="C134" i="4"/>
  <c r="C10" i="4"/>
  <c r="H75" i="16"/>
  <c r="C22" i="4"/>
  <c r="B7" i="4"/>
  <c r="B9" i="10" s="1"/>
  <c r="F106" i="4"/>
  <c r="C28" i="4"/>
  <c r="B112" i="4"/>
  <c r="C73" i="4"/>
  <c r="F111" i="4"/>
  <c r="F27" i="4"/>
  <c r="F115" i="4"/>
  <c r="C120" i="4"/>
  <c r="C118" i="4"/>
  <c r="E118" i="18" s="1"/>
  <c r="F84" i="4"/>
  <c r="B22" i="4"/>
  <c r="B10" i="10" s="1"/>
  <c r="B12" i="4"/>
  <c r="B41" i="10" s="1"/>
  <c r="B110" i="4"/>
  <c r="C53" i="4"/>
  <c r="C119" i="4"/>
  <c r="F108" i="4"/>
  <c r="B33" i="4"/>
  <c r="B42" i="10" s="1"/>
  <c r="C112" i="4"/>
  <c r="B116" i="4"/>
  <c r="D116" i="4" s="1"/>
  <c r="F94" i="4"/>
  <c r="B105" i="4"/>
  <c r="B123" i="4"/>
  <c r="F76" i="4"/>
  <c r="C12" i="4"/>
  <c r="B32" i="4"/>
  <c r="B31" i="10" s="1"/>
  <c r="C105" i="4"/>
  <c r="C114" i="4"/>
  <c r="E114" i="18" s="1"/>
  <c r="C132" i="4"/>
  <c r="B11" i="4"/>
  <c r="B30" i="10" s="1"/>
  <c r="C94" i="4"/>
  <c r="F110" i="4"/>
  <c r="F119" i="4"/>
  <c r="F135" i="4"/>
  <c r="B94" i="4"/>
  <c r="C36" i="4"/>
  <c r="B111" i="4"/>
  <c r="B122" i="4"/>
  <c r="C98" i="4"/>
  <c r="F22" i="4"/>
  <c r="C87" i="4"/>
  <c r="E87" i="4"/>
  <c r="F23" i="10" s="1"/>
  <c r="F120" i="4"/>
  <c r="C7" i="4"/>
  <c r="F32" i="4"/>
  <c r="C108" i="4"/>
  <c r="B133" i="4"/>
  <c r="B25" i="10" s="1"/>
  <c r="C32" i="4"/>
  <c r="F86" i="4"/>
  <c r="B55" i="4"/>
  <c r="F122" i="4"/>
  <c r="C106" i="4"/>
  <c r="E106" i="18" s="1"/>
  <c r="F65" i="4"/>
  <c r="C107" i="4"/>
  <c r="C133" i="4"/>
  <c r="C35" i="4"/>
  <c r="F98" i="4"/>
  <c r="F112" i="4"/>
  <c r="F123" i="4"/>
  <c r="E110" i="4"/>
  <c r="G110" i="4" s="1"/>
  <c r="C52" i="4"/>
  <c r="E94" i="4"/>
  <c r="B115" i="4"/>
  <c r="B124" i="4"/>
  <c r="D124" i="4" s="1"/>
  <c r="C47" i="4"/>
  <c r="B65" i="4"/>
  <c r="B98" i="4"/>
  <c r="C122" i="4"/>
  <c r="F11" i="4"/>
  <c r="E7" i="4"/>
  <c r="F9" i="10" s="1"/>
  <c r="F73" i="4"/>
  <c r="F97" i="4"/>
  <c r="C110" i="4"/>
  <c r="E110" i="18" s="1"/>
  <c r="C135" i="4"/>
  <c r="F10" i="4"/>
  <c r="E132" i="4"/>
  <c r="F15" i="10" s="1"/>
  <c r="B27" i="4"/>
  <c r="F105" i="4"/>
  <c r="F132" i="4"/>
  <c r="F12" i="4"/>
  <c r="B46" i="4"/>
  <c r="C11" i="4"/>
  <c r="C27" i="4"/>
  <c r="E27" i="18" s="1"/>
  <c r="E84" i="4"/>
  <c r="B106" i="4"/>
  <c r="B118" i="4"/>
  <c r="B87" i="4"/>
  <c r="B23" i="10" s="1"/>
  <c r="C115" i="4"/>
  <c r="B8" i="4"/>
  <c r="E33" i="4"/>
  <c r="F42" i="10" s="1"/>
  <c r="C84" i="4"/>
  <c r="F107" i="4"/>
  <c r="C33" i="4"/>
  <c r="B52" i="4"/>
  <c r="F33" i="4"/>
  <c r="B108" i="4"/>
  <c r="D108" i="4" s="1"/>
  <c r="B120" i="4"/>
  <c r="B134" i="4"/>
  <c r="B33" i="10" s="1"/>
  <c r="F87" i="4"/>
  <c r="E28" i="4"/>
  <c r="F21" i="10" s="1"/>
  <c r="E77" i="4"/>
  <c r="C37" i="4"/>
  <c r="B9" i="4"/>
  <c r="F118" i="4"/>
  <c r="C56" i="4"/>
  <c r="E133" i="4"/>
  <c r="F25" i="10" s="1"/>
  <c r="B77" i="4"/>
  <c r="B114" i="4"/>
  <c r="E118" i="4"/>
  <c r="G118" i="4" s="1"/>
  <c r="F114" i="4"/>
  <c r="E22" i="4"/>
  <c r="F10" i="10" s="1"/>
  <c r="B47" i="4"/>
  <c r="C65" i="4"/>
  <c r="E65" i="18" s="1"/>
  <c r="C124" i="4"/>
  <c r="C116" i="4"/>
  <c r="E114" i="4"/>
  <c r="F7" i="4"/>
  <c r="F77" i="4"/>
  <c r="B119" i="4"/>
  <c r="B84" i="4"/>
  <c r="F116" i="4"/>
  <c r="F133" i="4"/>
  <c r="C46" i="4"/>
  <c r="C77" i="4"/>
  <c r="E77" i="18" s="1"/>
  <c r="F28" i="4"/>
  <c r="E111" i="4"/>
  <c r="E120" i="4"/>
  <c r="G120" i="4" s="1"/>
  <c r="E134" i="4"/>
  <c r="E32" i="4"/>
  <c r="F31" i="10" s="1"/>
  <c r="K134" i="16"/>
  <c r="F134" i="4"/>
  <c r="E65" i="4"/>
  <c r="G65" i="4" s="1"/>
  <c r="E73" i="4"/>
  <c r="B53" i="4"/>
  <c r="B34" i="4"/>
  <c r="B16" i="10" s="1"/>
  <c r="K9" i="16"/>
  <c r="C9" i="4"/>
  <c r="E9" i="18" s="1"/>
  <c r="C97" i="4"/>
  <c r="E97" i="18" s="1"/>
  <c r="E97" i="4"/>
  <c r="G97" i="4" s="1"/>
  <c r="E11" i="4"/>
  <c r="F30" i="10" s="1"/>
  <c r="B97" i="4"/>
  <c r="E27" i="4"/>
  <c r="G27" i="4" s="1"/>
  <c r="B37" i="4"/>
  <c r="E10" i="4"/>
  <c r="F20" i="10" s="1"/>
  <c r="E12" i="4"/>
  <c r="F41" i="10" s="1"/>
  <c r="B56" i="4"/>
  <c r="B35" i="4"/>
  <c r="B26" i="10" s="1"/>
  <c r="E105" i="4"/>
  <c r="E135" i="4"/>
  <c r="B76" i="4"/>
  <c r="B86" i="4"/>
  <c r="E98" i="4"/>
  <c r="E112" i="4"/>
  <c r="G112" i="4" s="1"/>
  <c r="E119" i="4"/>
  <c r="B36" i="4"/>
  <c r="B34" i="10" s="1"/>
  <c r="C76" i="4"/>
  <c r="E76" i="18" s="1"/>
  <c r="H9" i="9"/>
  <c r="C86" i="4"/>
  <c r="E86" i="18" s="1"/>
  <c r="K8" i="16"/>
  <c r="C8" i="4"/>
  <c r="E8" i="18" s="1"/>
  <c r="E76" i="4"/>
  <c r="G76" i="4" s="1"/>
  <c r="E86" i="4"/>
  <c r="G86" i="4" s="1"/>
  <c r="C66" i="4"/>
  <c r="E66" i="4"/>
  <c r="F13" i="10" s="1"/>
  <c r="B66" i="4"/>
  <c r="B13" i="10" s="1"/>
  <c r="F66" i="4"/>
  <c r="E124" i="4"/>
  <c r="G124" i="4" s="1"/>
  <c r="E123" i="4"/>
  <c r="K123" i="16"/>
  <c r="C123" i="4"/>
  <c r="E122" i="4"/>
  <c r="E116" i="4"/>
  <c r="G116" i="4" s="1"/>
  <c r="E115" i="4"/>
  <c r="E108" i="4"/>
  <c r="G108" i="4" s="1"/>
  <c r="E107" i="4"/>
  <c r="E106" i="4"/>
  <c r="K124" i="16"/>
  <c r="K112" i="16"/>
  <c r="K73" i="16"/>
  <c r="K22" i="16"/>
  <c r="K94" i="16"/>
  <c r="K76" i="16"/>
  <c r="K11" i="16"/>
  <c r="K135" i="16"/>
  <c r="K111" i="16"/>
  <c r="K97" i="16"/>
  <c r="K86" i="16"/>
  <c r="K132" i="16"/>
  <c r="K77" i="16"/>
  <c r="K65" i="16"/>
  <c r="K114" i="16"/>
  <c r="K7" i="16"/>
  <c r="K133" i="16"/>
  <c r="J87" i="16"/>
  <c r="J105" i="16"/>
  <c r="J8" i="16"/>
  <c r="J33" i="16"/>
  <c r="J106" i="16"/>
  <c r="J9" i="16"/>
  <c r="J22" i="16"/>
  <c r="J27" i="16"/>
  <c r="J76" i="16"/>
  <c r="J108" i="16"/>
  <c r="K116" i="16"/>
  <c r="K105" i="16"/>
  <c r="J123" i="16"/>
  <c r="J32" i="16"/>
  <c r="J111" i="16"/>
  <c r="J28" i="16"/>
  <c r="J133" i="16"/>
  <c r="K84" i="16"/>
  <c r="K10" i="16"/>
  <c r="K28" i="16"/>
  <c r="K32" i="16"/>
  <c r="J107" i="16"/>
  <c r="J118" i="16"/>
  <c r="K122" i="16"/>
  <c r="J134" i="16"/>
  <c r="K106" i="16"/>
  <c r="K115" i="16"/>
  <c r="K120" i="16"/>
  <c r="K118" i="16"/>
  <c r="J114" i="16"/>
  <c r="J110" i="16"/>
  <c r="J11" i="16"/>
  <c r="J65" i="16"/>
  <c r="J120" i="16"/>
  <c r="J112" i="16"/>
  <c r="J119" i="16"/>
  <c r="K33" i="16"/>
  <c r="J86" i="16"/>
  <c r="K119" i="16"/>
  <c r="J124" i="16"/>
  <c r="J84" i="16"/>
  <c r="J97" i="16"/>
  <c r="K107" i="16"/>
  <c r="J116" i="16"/>
  <c r="J132" i="16"/>
  <c r="J12" i="16"/>
  <c r="J66" i="16"/>
  <c r="J10" i="16"/>
  <c r="K66" i="16"/>
  <c r="J94" i="16"/>
  <c r="J7" i="16"/>
  <c r="K12" i="16"/>
  <c r="K27" i="16"/>
  <c r="J73" i="16"/>
  <c r="K87" i="16"/>
  <c r="K110" i="16"/>
  <c r="J115" i="16"/>
  <c r="J77" i="16"/>
  <c r="J98" i="16"/>
  <c r="K108" i="16"/>
  <c r="J122" i="16"/>
  <c r="J135" i="16"/>
  <c r="L122" i="23" l="1"/>
  <c r="L7" i="51"/>
  <c r="L115" i="35"/>
  <c r="L7" i="35"/>
  <c r="H117" i="20"/>
  <c r="L120" i="33"/>
  <c r="L133" i="26"/>
  <c r="E37" i="13"/>
  <c r="H109" i="35"/>
  <c r="L111" i="35"/>
  <c r="D120" i="4"/>
  <c r="H117" i="35"/>
  <c r="D45" i="34"/>
  <c r="L119" i="13"/>
  <c r="L106" i="33"/>
  <c r="L119" i="35"/>
  <c r="E46" i="37"/>
  <c r="E46" i="18"/>
  <c r="E33" i="37"/>
  <c r="I11" i="37"/>
  <c r="I11" i="18"/>
  <c r="E52" i="37"/>
  <c r="I32" i="37"/>
  <c r="I32" i="18"/>
  <c r="I115" i="37"/>
  <c r="I115" i="18"/>
  <c r="E22" i="37"/>
  <c r="E22" i="18"/>
  <c r="I107" i="37"/>
  <c r="I107" i="18"/>
  <c r="E7" i="37"/>
  <c r="E7" i="18"/>
  <c r="E132" i="37"/>
  <c r="E53" i="37"/>
  <c r="I87" i="37"/>
  <c r="I87" i="18"/>
  <c r="I10" i="37"/>
  <c r="I10" i="18"/>
  <c r="I123" i="37"/>
  <c r="I123" i="18"/>
  <c r="I122" i="37"/>
  <c r="I122" i="18"/>
  <c r="I120" i="18"/>
  <c r="I111" i="37"/>
  <c r="I111" i="18"/>
  <c r="I66" i="37"/>
  <c r="I66" i="18"/>
  <c r="E135" i="37"/>
  <c r="I94" i="37"/>
  <c r="E73" i="37"/>
  <c r="E34" i="37"/>
  <c r="I118" i="18"/>
  <c r="E47" i="37"/>
  <c r="I98" i="37"/>
  <c r="I98" i="18"/>
  <c r="I86" i="18"/>
  <c r="E87" i="37"/>
  <c r="E87" i="18"/>
  <c r="D112" i="4"/>
  <c r="I12" i="37"/>
  <c r="I12" i="18"/>
  <c r="E35" i="37"/>
  <c r="E32" i="37"/>
  <c r="I22" i="37"/>
  <c r="I22" i="18"/>
  <c r="I119" i="37"/>
  <c r="I119" i="18"/>
  <c r="E28" i="37"/>
  <c r="E28" i="18"/>
  <c r="I28" i="37"/>
  <c r="I28" i="18"/>
  <c r="I77" i="37"/>
  <c r="I77" i="18"/>
  <c r="I114" i="18"/>
  <c r="I33" i="37"/>
  <c r="I33" i="18"/>
  <c r="I73" i="37"/>
  <c r="E133" i="37"/>
  <c r="I110" i="18"/>
  <c r="I106" i="37"/>
  <c r="I106" i="18"/>
  <c r="E10" i="37"/>
  <c r="E10" i="18"/>
  <c r="E55" i="37"/>
  <c r="I7" i="37"/>
  <c r="I7" i="18"/>
  <c r="E94" i="37"/>
  <c r="I76" i="18"/>
  <c r="E134" i="37"/>
  <c r="L112" i="33"/>
  <c r="H75" i="23"/>
  <c r="K75" i="23"/>
  <c r="F75" i="4"/>
  <c r="L123" i="16"/>
  <c r="L112" i="16"/>
  <c r="L84" i="16"/>
  <c r="L94" i="16"/>
  <c r="D45" i="21"/>
  <c r="D45" i="20"/>
  <c r="D117" i="16"/>
  <c r="L105" i="29"/>
  <c r="L132" i="26"/>
  <c r="L107" i="23"/>
  <c r="L111" i="33"/>
  <c r="L12" i="33"/>
  <c r="D54" i="22"/>
  <c r="H109" i="20"/>
  <c r="D54" i="41"/>
  <c r="G122" i="4"/>
  <c r="E98" i="37"/>
  <c r="E76" i="37"/>
  <c r="E9" i="37"/>
  <c r="E27" i="37"/>
  <c r="E122" i="37"/>
  <c r="E8" i="37"/>
  <c r="E65" i="37"/>
  <c r="E114" i="37"/>
  <c r="E123" i="37"/>
  <c r="E97" i="37"/>
  <c r="E110" i="37"/>
  <c r="E105" i="37"/>
  <c r="E86" i="37"/>
  <c r="E84" i="37"/>
  <c r="E106" i="37"/>
  <c r="E118" i="37"/>
  <c r="G114" i="4"/>
  <c r="H64" i="27"/>
  <c r="D45" i="38"/>
  <c r="L94" i="33"/>
  <c r="L111" i="29"/>
  <c r="L87" i="23"/>
  <c r="L73" i="33"/>
  <c r="L66" i="20"/>
  <c r="H96" i="20"/>
  <c r="L66" i="33"/>
  <c r="L66" i="23"/>
  <c r="L27" i="24"/>
  <c r="H96" i="29"/>
  <c r="K96" i="29"/>
  <c r="L87" i="20"/>
  <c r="L22" i="23"/>
  <c r="K96" i="20"/>
  <c r="K85" i="29"/>
  <c r="L135" i="26"/>
  <c r="D45" i="40"/>
  <c r="L87" i="27"/>
  <c r="K64" i="27"/>
  <c r="L111" i="20"/>
  <c r="L27" i="23"/>
  <c r="L12" i="29"/>
  <c r="D51" i="13"/>
  <c r="K85" i="33"/>
  <c r="K85" i="23"/>
  <c r="L87" i="33"/>
  <c r="H85" i="29"/>
  <c r="L133" i="34"/>
  <c r="L107" i="27"/>
  <c r="L10" i="29"/>
  <c r="L7" i="33"/>
  <c r="H96" i="27"/>
  <c r="H64" i="23"/>
  <c r="L33" i="29"/>
  <c r="D54" i="39"/>
  <c r="L11" i="35"/>
  <c r="H85" i="35"/>
  <c r="L114" i="29"/>
  <c r="L11" i="29"/>
  <c r="D45" i="41"/>
  <c r="H109" i="13"/>
  <c r="L106" i="27"/>
  <c r="L33" i="23"/>
  <c r="N141" i="8"/>
  <c r="C12" i="9"/>
  <c r="N115" i="8"/>
  <c r="C24" i="9"/>
  <c r="C13" i="9"/>
  <c r="L73" i="16"/>
  <c r="C22" i="9"/>
  <c r="L98" i="16"/>
  <c r="C27" i="9"/>
  <c r="K117" i="20"/>
  <c r="K109" i="13"/>
  <c r="L105" i="33"/>
  <c r="L98" i="33"/>
  <c r="L98" i="20"/>
  <c r="N144" i="8"/>
  <c r="M115" i="8"/>
  <c r="L106" i="13"/>
  <c r="D54" i="40"/>
  <c r="L97" i="16"/>
  <c r="L134" i="16"/>
  <c r="N146" i="8"/>
  <c r="L107" i="35"/>
  <c r="H117" i="23"/>
  <c r="L114" i="33"/>
  <c r="L98" i="27"/>
  <c r="C19" i="9"/>
  <c r="D51" i="22"/>
  <c r="L33" i="33"/>
  <c r="L8" i="16"/>
  <c r="L110" i="16"/>
  <c r="L65" i="29"/>
  <c r="L28" i="20"/>
  <c r="L114" i="23"/>
  <c r="L12" i="35"/>
  <c r="H85" i="27"/>
  <c r="L133" i="16"/>
  <c r="L106" i="23"/>
  <c r="L27" i="25"/>
  <c r="L132" i="16"/>
  <c r="L9" i="16"/>
  <c r="H96" i="13"/>
  <c r="K109" i="29"/>
  <c r="L76" i="16"/>
  <c r="N145" i="8"/>
  <c r="L7" i="16"/>
  <c r="L115" i="16"/>
  <c r="D96" i="16"/>
  <c r="D51" i="16"/>
  <c r="L122" i="16"/>
  <c r="D45" i="33"/>
  <c r="D54" i="25"/>
  <c r="L115" i="33"/>
  <c r="L10" i="35"/>
  <c r="L12" i="13"/>
  <c r="L124" i="16"/>
  <c r="K64" i="35"/>
  <c r="D54" i="16"/>
  <c r="N139" i="8"/>
  <c r="L77" i="16"/>
  <c r="L97" i="23"/>
  <c r="H117" i="16"/>
  <c r="L7" i="20"/>
  <c r="K117" i="13"/>
  <c r="M117" i="8"/>
  <c r="K64" i="23"/>
  <c r="K85" i="35"/>
  <c r="M112" i="8"/>
  <c r="L11" i="33"/>
  <c r="H117" i="13"/>
  <c r="L22" i="16"/>
  <c r="D64" i="16"/>
  <c r="L28" i="16"/>
  <c r="L105" i="16"/>
  <c r="L66" i="16"/>
  <c r="C14" i="9"/>
  <c r="D75" i="16"/>
  <c r="D109" i="16"/>
  <c r="H109" i="16"/>
  <c r="L33" i="16"/>
  <c r="L107" i="16"/>
  <c r="H85" i="16"/>
  <c r="L106" i="16"/>
  <c r="L10" i="16"/>
  <c r="L119" i="16"/>
  <c r="L65" i="16"/>
  <c r="G9" i="9"/>
  <c r="D85" i="16"/>
  <c r="E134" i="16"/>
  <c r="H64" i="16"/>
  <c r="L86" i="16"/>
  <c r="D45" i="16"/>
  <c r="L27" i="16"/>
  <c r="L87" i="16"/>
  <c r="L135" i="16"/>
  <c r="L12" i="16"/>
  <c r="L116" i="16"/>
  <c r="L120" i="16"/>
  <c r="L11" i="16"/>
  <c r="L114" i="16"/>
  <c r="L118" i="16"/>
  <c r="L111" i="16"/>
  <c r="L32" i="16"/>
  <c r="L108" i="16"/>
  <c r="H96" i="16"/>
  <c r="N143" i="8"/>
  <c r="L7" i="13"/>
  <c r="M142" i="8"/>
  <c r="N138" i="8"/>
  <c r="B28" i="9"/>
  <c r="M119" i="8"/>
  <c r="M143" i="8"/>
  <c r="N114" i="8"/>
  <c r="N140" i="8"/>
  <c r="N147" i="8"/>
  <c r="C9" i="9"/>
  <c r="C28" i="9"/>
  <c r="C21" i="9"/>
  <c r="C17" i="9"/>
  <c r="M114" i="8"/>
  <c r="B11" i="9"/>
  <c r="B15" i="9"/>
  <c r="B9" i="9"/>
  <c r="M120" i="8"/>
  <c r="H117" i="33"/>
  <c r="L123" i="33"/>
  <c r="M145" i="8"/>
  <c r="L119" i="23"/>
  <c r="M116" i="8"/>
  <c r="M141" i="8"/>
  <c r="L114" i="13"/>
  <c r="N119" i="8"/>
  <c r="C26" i="9"/>
  <c r="L10" i="33"/>
  <c r="C18" i="9"/>
  <c r="B18" i="9"/>
  <c r="L22" i="13"/>
  <c r="L105" i="13"/>
  <c r="B10" i="9"/>
  <c r="L10" i="13"/>
  <c r="L119" i="33"/>
  <c r="C25" i="9"/>
  <c r="K96" i="27"/>
  <c r="H85" i="23"/>
  <c r="L28" i="24"/>
  <c r="L7" i="23"/>
  <c r="H85" i="33"/>
  <c r="L118" i="29"/>
  <c r="D45" i="22"/>
  <c r="L11" i="23"/>
  <c r="M118" i="8"/>
  <c r="L115" i="29"/>
  <c r="B23" i="9"/>
  <c r="N116" i="8"/>
  <c r="K117" i="23"/>
  <c r="L32" i="13"/>
  <c r="M146" i="8"/>
  <c r="B21" i="9"/>
  <c r="B19" i="9"/>
  <c r="N142" i="8"/>
  <c r="L22" i="24"/>
  <c r="L7" i="19"/>
  <c r="N112" i="8"/>
  <c r="M113" i="8"/>
  <c r="C10" i="9"/>
  <c r="L11" i="13"/>
  <c r="C11" i="9"/>
  <c r="M138" i="8"/>
  <c r="C29" i="9"/>
  <c r="G73" i="4"/>
  <c r="F14" i="10"/>
  <c r="E46" i="39"/>
  <c r="E46" i="16"/>
  <c r="I87" i="20"/>
  <c r="I87" i="13"/>
  <c r="I87" i="29"/>
  <c r="I87" i="35"/>
  <c r="I87" i="33"/>
  <c r="I87" i="27"/>
  <c r="I87" i="23"/>
  <c r="I87" i="16"/>
  <c r="G23" i="10"/>
  <c r="I33" i="23"/>
  <c r="I33" i="29"/>
  <c r="I33" i="35"/>
  <c r="I33" i="33"/>
  <c r="I33" i="13"/>
  <c r="I33" i="16"/>
  <c r="G42" i="10"/>
  <c r="I132" i="26"/>
  <c r="G15" i="10"/>
  <c r="I132" i="16"/>
  <c r="I10" i="23"/>
  <c r="I10" i="35"/>
  <c r="I10" i="29"/>
  <c r="I10" i="33"/>
  <c r="I10" i="13"/>
  <c r="G20" i="10"/>
  <c r="I10" i="16"/>
  <c r="E47" i="39"/>
  <c r="E47" i="16"/>
  <c r="E52" i="39"/>
  <c r="E52" i="16"/>
  <c r="I112" i="16"/>
  <c r="C25" i="10"/>
  <c r="C31" i="10"/>
  <c r="C9" i="10"/>
  <c r="C23" i="10"/>
  <c r="G44" i="10"/>
  <c r="I135" i="16"/>
  <c r="C41" i="10"/>
  <c r="I108" i="16"/>
  <c r="I84" i="29"/>
  <c r="I84" i="33"/>
  <c r="I84" i="35"/>
  <c r="I84" i="16"/>
  <c r="I27" i="16"/>
  <c r="C21" i="10"/>
  <c r="C33" i="10"/>
  <c r="C16" i="10"/>
  <c r="N118" i="8"/>
  <c r="H16" i="9"/>
  <c r="N65" i="8" s="1"/>
  <c r="B14" i="9"/>
  <c r="M147" i="8"/>
  <c r="B12" i="9"/>
  <c r="H26" i="9"/>
  <c r="H17" i="9"/>
  <c r="N66" i="8" s="1"/>
  <c r="M140" i="8"/>
  <c r="N113" i="8"/>
  <c r="B42" i="9"/>
  <c r="G39" i="9"/>
  <c r="I28" i="33"/>
  <c r="I28" i="20"/>
  <c r="I28" i="23"/>
  <c r="I28" i="29"/>
  <c r="I28" i="13"/>
  <c r="I28" i="35"/>
  <c r="I28" i="16"/>
  <c r="G21" i="10"/>
  <c r="C30" i="10"/>
  <c r="I105" i="13"/>
  <c r="I105" i="29"/>
  <c r="I105" i="35"/>
  <c r="I105" i="33"/>
  <c r="I105" i="16"/>
  <c r="C44" i="10"/>
  <c r="I73" i="33"/>
  <c r="G14" i="10"/>
  <c r="I73" i="16"/>
  <c r="I98" i="13"/>
  <c r="I98" i="20"/>
  <c r="I98" i="23"/>
  <c r="I98" i="27"/>
  <c r="I98" i="29"/>
  <c r="I98" i="33"/>
  <c r="I98" i="16"/>
  <c r="I122" i="16"/>
  <c r="I120" i="33"/>
  <c r="I120" i="16"/>
  <c r="I22" i="23"/>
  <c r="I22" i="29"/>
  <c r="I22" i="35"/>
  <c r="I22" i="33"/>
  <c r="I22" i="20"/>
  <c r="I22" i="16"/>
  <c r="I22" i="13"/>
  <c r="G10" i="10"/>
  <c r="C34" i="10"/>
  <c r="I119" i="20"/>
  <c r="I119" i="13"/>
  <c r="I119" i="23"/>
  <c r="I119" i="35"/>
  <c r="I119" i="27"/>
  <c r="I119" i="33"/>
  <c r="I119" i="29"/>
  <c r="I119" i="16"/>
  <c r="I111" i="20"/>
  <c r="I111" i="23"/>
  <c r="I111" i="13"/>
  <c r="I111" i="27"/>
  <c r="I111" i="35"/>
  <c r="I111" i="33"/>
  <c r="I111" i="29"/>
  <c r="I111" i="16"/>
  <c r="I106" i="13"/>
  <c r="I106" i="16"/>
  <c r="B26" i="9"/>
  <c r="M144" i="8"/>
  <c r="N117" i="8"/>
  <c r="B38" i="9"/>
  <c r="B13" i="9"/>
  <c r="B30" i="9"/>
  <c r="G43" i="9"/>
  <c r="B39" i="9"/>
  <c r="H21" i="9"/>
  <c r="C15" i="9"/>
  <c r="B29" i="9"/>
  <c r="H27" i="9"/>
  <c r="G42" i="9"/>
  <c r="B37" i="9"/>
  <c r="B17" i="9"/>
  <c r="I134" i="26"/>
  <c r="I134" i="16"/>
  <c r="G33" i="10"/>
  <c r="I7" i="29"/>
  <c r="I7" i="33"/>
  <c r="I7" i="23"/>
  <c r="I7" i="35"/>
  <c r="I7" i="13"/>
  <c r="G9" i="10"/>
  <c r="I7" i="16"/>
  <c r="I114" i="16"/>
  <c r="D37" i="4"/>
  <c r="B45" i="10"/>
  <c r="C45" i="10"/>
  <c r="C42" i="10"/>
  <c r="I65" i="16"/>
  <c r="C15" i="10"/>
  <c r="I76" i="16"/>
  <c r="B27" i="9"/>
  <c r="B20" i="9"/>
  <c r="H15" i="9"/>
  <c r="M139" i="8"/>
  <c r="B44" i="9"/>
  <c r="G41" i="9"/>
  <c r="C23" i="9"/>
  <c r="H10" i="9"/>
  <c r="N120" i="8"/>
  <c r="C16" i="9"/>
  <c r="H29" i="9"/>
  <c r="C13" i="10"/>
  <c r="G135" i="4"/>
  <c r="F44" i="10"/>
  <c r="I133" i="26"/>
  <c r="G25" i="10"/>
  <c r="I133" i="16"/>
  <c r="E56" i="39"/>
  <c r="E56" i="16"/>
  <c r="I110" i="23"/>
  <c r="I110" i="33"/>
  <c r="I110" i="16"/>
  <c r="I94" i="33"/>
  <c r="G24" i="10"/>
  <c r="I94" i="16"/>
  <c r="E53" i="39"/>
  <c r="E53" i="16"/>
  <c r="C14" i="10"/>
  <c r="I124" i="16"/>
  <c r="I66" i="20"/>
  <c r="I66" i="23"/>
  <c r="I66" i="27"/>
  <c r="I66" i="29"/>
  <c r="I66" i="35"/>
  <c r="I66" i="16"/>
  <c r="I66" i="33"/>
  <c r="I66" i="13"/>
  <c r="G13" i="10"/>
  <c r="G134" i="4"/>
  <c r="F33" i="10"/>
  <c r="I116" i="16"/>
  <c r="I77" i="13"/>
  <c r="I77" i="20"/>
  <c r="I77" i="23"/>
  <c r="I77" i="33"/>
  <c r="I77" i="16"/>
  <c r="I77" i="27"/>
  <c r="I77" i="29"/>
  <c r="I118" i="16"/>
  <c r="I107" i="13"/>
  <c r="I107" i="27"/>
  <c r="I107" i="35"/>
  <c r="I107" i="29"/>
  <c r="I107" i="23"/>
  <c r="I107" i="33"/>
  <c r="I107" i="16"/>
  <c r="I12" i="29"/>
  <c r="I12" i="33"/>
  <c r="I12" i="35"/>
  <c r="I12" i="23"/>
  <c r="I12" i="13"/>
  <c r="I12" i="16"/>
  <c r="G41" i="10"/>
  <c r="I97" i="16"/>
  <c r="I11" i="13"/>
  <c r="I11" i="23"/>
  <c r="I11" i="35"/>
  <c r="I11" i="33"/>
  <c r="I11" i="16"/>
  <c r="G30" i="10"/>
  <c r="I11" i="29"/>
  <c r="G94" i="4"/>
  <c r="F24" i="10"/>
  <c r="I123" i="13"/>
  <c r="I123" i="27"/>
  <c r="I123" i="23"/>
  <c r="I123" i="29"/>
  <c r="I123" i="33"/>
  <c r="I123" i="16"/>
  <c r="C26" i="10"/>
  <c r="I86" i="16"/>
  <c r="I32" i="13"/>
  <c r="I32" i="35"/>
  <c r="I32" i="23"/>
  <c r="I32" i="29"/>
  <c r="I32" i="33"/>
  <c r="I32" i="16"/>
  <c r="G31" i="10"/>
  <c r="D94" i="4"/>
  <c r="B24" i="10"/>
  <c r="C24" i="10"/>
  <c r="I115" i="13"/>
  <c r="I115" i="23"/>
  <c r="I115" i="35"/>
  <c r="I115" i="29"/>
  <c r="I115" i="33"/>
  <c r="I115" i="27"/>
  <c r="I115" i="16"/>
  <c r="C10" i="10"/>
  <c r="C20" i="10"/>
  <c r="D73" i="4"/>
  <c r="B14" i="10"/>
  <c r="E55" i="39"/>
  <c r="E55" i="16"/>
  <c r="L122" i="29"/>
  <c r="L118" i="27"/>
  <c r="K117" i="27"/>
  <c r="L118" i="23"/>
  <c r="L65" i="23"/>
  <c r="H96" i="33"/>
  <c r="L22" i="35"/>
  <c r="H85" i="20"/>
  <c r="L98" i="13"/>
  <c r="D51" i="39"/>
  <c r="D54" i="33"/>
  <c r="L107" i="29"/>
  <c r="L7" i="29"/>
  <c r="L27" i="29"/>
  <c r="L115" i="23"/>
  <c r="H96" i="23"/>
  <c r="L10" i="20"/>
  <c r="K96" i="13"/>
  <c r="L28" i="13"/>
  <c r="G38" i="9"/>
  <c r="B16" i="9"/>
  <c r="G40" i="9"/>
  <c r="B22" i="9"/>
  <c r="H14" i="9"/>
  <c r="B25" i="9"/>
  <c r="C20" i="9"/>
  <c r="G36" i="9"/>
  <c r="H25" i="9"/>
  <c r="B24" i="9"/>
  <c r="H24" i="9"/>
  <c r="L22" i="20"/>
  <c r="L107" i="33"/>
  <c r="L97" i="33"/>
  <c r="H109" i="29"/>
  <c r="L10" i="23"/>
  <c r="L27" i="13"/>
  <c r="L87" i="35"/>
  <c r="D54" i="13"/>
  <c r="F85" i="4"/>
  <c r="L33" i="35"/>
  <c r="L97" i="29"/>
  <c r="K117" i="33"/>
  <c r="L86" i="33"/>
  <c r="L27" i="33"/>
  <c r="L77" i="33"/>
  <c r="L32" i="29"/>
  <c r="H64" i="33"/>
  <c r="L76" i="33"/>
  <c r="L65" i="13"/>
  <c r="H64" i="35"/>
  <c r="K85" i="27"/>
  <c r="L107" i="13"/>
  <c r="L110" i="13"/>
  <c r="L33" i="13"/>
  <c r="L77" i="29"/>
  <c r="L84" i="29"/>
  <c r="L7" i="22"/>
  <c r="L76" i="27"/>
  <c r="K64" i="33"/>
  <c r="L87" i="29"/>
  <c r="L110" i="27"/>
  <c r="L12" i="23"/>
  <c r="H85" i="13"/>
  <c r="L118" i="13"/>
  <c r="L66" i="13"/>
  <c r="L7" i="25"/>
  <c r="K64" i="20"/>
  <c r="L132" i="34"/>
  <c r="L123" i="27"/>
  <c r="F64" i="4"/>
  <c r="B75" i="4"/>
  <c r="L106" i="29"/>
  <c r="L65" i="27"/>
  <c r="L32" i="35"/>
  <c r="D51" i="25"/>
  <c r="L110" i="33"/>
  <c r="L28" i="33"/>
  <c r="L119" i="29"/>
  <c r="L28" i="29"/>
  <c r="H109" i="23"/>
  <c r="L84" i="35"/>
  <c r="D51" i="33"/>
  <c r="L110" i="29"/>
  <c r="L66" i="29"/>
  <c r="L134" i="26"/>
  <c r="L77" i="27"/>
  <c r="D45" i="25"/>
  <c r="L86" i="27"/>
  <c r="L110" i="23"/>
  <c r="H64" i="20"/>
  <c r="L111" i="13"/>
  <c r="L115" i="13"/>
  <c r="K85" i="20"/>
  <c r="L66" i="35"/>
  <c r="L84" i="33"/>
  <c r="H117" i="29"/>
  <c r="L98" i="29"/>
  <c r="L32" i="33"/>
  <c r="L123" i="29"/>
  <c r="L97" i="27"/>
  <c r="L28" i="35"/>
  <c r="L86" i="29"/>
  <c r="L76" i="29"/>
  <c r="K109" i="27"/>
  <c r="L86" i="23"/>
  <c r="L123" i="23"/>
  <c r="L111" i="23"/>
  <c r="L77" i="20"/>
  <c r="H109" i="33"/>
  <c r="L105" i="35"/>
  <c r="D45" i="51"/>
  <c r="D45" i="26"/>
  <c r="L7" i="24"/>
  <c r="L28" i="23"/>
  <c r="L27" i="20"/>
  <c r="L119" i="27"/>
  <c r="K117" i="35"/>
  <c r="L98" i="23"/>
  <c r="L111" i="27"/>
  <c r="L77" i="23"/>
  <c r="L65" i="33"/>
  <c r="L22" i="33"/>
  <c r="L22" i="29"/>
  <c r="J75" i="29"/>
  <c r="L115" i="27"/>
  <c r="K96" i="23"/>
  <c r="L10" i="24"/>
  <c r="L76" i="23"/>
  <c r="L32" i="23"/>
  <c r="L119" i="20"/>
  <c r="H109" i="27"/>
  <c r="L66" i="27"/>
  <c r="K109" i="20"/>
  <c r="C96" i="4"/>
  <c r="B64" i="4"/>
  <c r="C64" i="4"/>
  <c r="E64" i="18" s="1"/>
  <c r="C85" i="4"/>
  <c r="E85" i="18" s="1"/>
  <c r="B85" i="4"/>
  <c r="B22" i="10" s="1"/>
  <c r="F96" i="4"/>
  <c r="B96" i="4"/>
  <c r="L122" i="13"/>
  <c r="L77" i="13"/>
  <c r="L87" i="13"/>
  <c r="L133" i="13"/>
  <c r="L97" i="13"/>
  <c r="L123" i="13"/>
  <c r="L76" i="13"/>
  <c r="K64" i="13"/>
  <c r="L84" i="13"/>
  <c r="K85" i="13"/>
  <c r="J75" i="13"/>
  <c r="L86" i="13"/>
  <c r="H64" i="13"/>
  <c r="D45" i="13"/>
  <c r="J85" i="35"/>
  <c r="D64" i="33"/>
  <c r="J64" i="33"/>
  <c r="D75" i="27"/>
  <c r="J75" i="27"/>
  <c r="L75" i="27" s="1"/>
  <c r="J96" i="23"/>
  <c r="D96" i="23"/>
  <c r="D109" i="33"/>
  <c r="J109" i="33"/>
  <c r="J109" i="35"/>
  <c r="D85" i="20"/>
  <c r="J85" i="20"/>
  <c r="D64" i="13"/>
  <c r="J64" i="13"/>
  <c r="K109" i="33"/>
  <c r="K109" i="35"/>
  <c r="J109" i="29"/>
  <c r="D109" i="29"/>
  <c r="J109" i="23"/>
  <c r="D109" i="23"/>
  <c r="J75" i="20"/>
  <c r="L75" i="20" s="1"/>
  <c r="D75" i="20"/>
  <c r="J85" i="13"/>
  <c r="D85" i="13"/>
  <c r="J117" i="33"/>
  <c r="D117" i="33"/>
  <c r="J117" i="27"/>
  <c r="D117" i="27"/>
  <c r="J64" i="27"/>
  <c r="D64" i="27"/>
  <c r="D75" i="29"/>
  <c r="K75" i="29"/>
  <c r="D96" i="27"/>
  <c r="J96" i="27"/>
  <c r="J64" i="35"/>
  <c r="D75" i="13"/>
  <c r="K75" i="13"/>
  <c r="D96" i="20"/>
  <c r="J96" i="20"/>
  <c r="J96" i="36"/>
  <c r="J64" i="29"/>
  <c r="J85" i="33"/>
  <c r="D85" i="33"/>
  <c r="J85" i="36"/>
  <c r="D117" i="29"/>
  <c r="J117" i="29"/>
  <c r="D96" i="33"/>
  <c r="J96" i="33"/>
  <c r="L96" i="33" s="1"/>
  <c r="J85" i="29"/>
  <c r="D85" i="29"/>
  <c r="J109" i="27"/>
  <c r="D109" i="27"/>
  <c r="J85" i="23"/>
  <c r="D85" i="23"/>
  <c r="K117" i="29"/>
  <c r="H117" i="27"/>
  <c r="K109" i="23"/>
  <c r="D117" i="13"/>
  <c r="J117" i="13"/>
  <c r="D96" i="13"/>
  <c r="J96" i="13"/>
  <c r="D109" i="13"/>
  <c r="J109" i="13"/>
  <c r="J96" i="29"/>
  <c r="D96" i="29"/>
  <c r="J117" i="35"/>
  <c r="H64" i="29"/>
  <c r="D117" i="23"/>
  <c r="J117" i="23"/>
  <c r="J64" i="23"/>
  <c r="D64" i="23"/>
  <c r="D75" i="33"/>
  <c r="J75" i="33"/>
  <c r="L75" i="33" s="1"/>
  <c r="J75" i="23"/>
  <c r="D75" i="23"/>
  <c r="J117" i="36"/>
  <c r="D64" i="29"/>
  <c r="K64" i="29"/>
  <c r="D85" i="27"/>
  <c r="J85" i="27"/>
  <c r="D117" i="20"/>
  <c r="J117" i="20"/>
  <c r="J109" i="20"/>
  <c r="D109" i="20"/>
  <c r="D64" i="20"/>
  <c r="J64" i="20"/>
  <c r="E46" i="38"/>
  <c r="E86" i="33"/>
  <c r="E106" i="33"/>
  <c r="E22" i="33"/>
  <c r="E55" i="33"/>
  <c r="E97" i="33"/>
  <c r="E9" i="33"/>
  <c r="E46" i="33"/>
  <c r="E115" i="33"/>
  <c r="E108" i="33"/>
  <c r="E53" i="33"/>
  <c r="E120" i="33"/>
  <c r="E73" i="33"/>
  <c r="E27" i="33"/>
  <c r="E114" i="33"/>
  <c r="E10" i="33"/>
  <c r="E77" i="33"/>
  <c r="E33" i="33"/>
  <c r="E47" i="33"/>
  <c r="E52" i="33"/>
  <c r="E32" i="33"/>
  <c r="E7" i="33"/>
  <c r="E87" i="33"/>
  <c r="E98" i="33"/>
  <c r="E28" i="33"/>
  <c r="E123" i="33"/>
  <c r="E66" i="33"/>
  <c r="E94" i="33"/>
  <c r="E8" i="33"/>
  <c r="E76" i="33"/>
  <c r="E65" i="33"/>
  <c r="E110" i="33"/>
  <c r="E107" i="33"/>
  <c r="E112" i="33"/>
  <c r="E119" i="33"/>
  <c r="E111" i="33"/>
  <c r="G115" i="4"/>
  <c r="E97" i="29"/>
  <c r="E9" i="29"/>
  <c r="E46" i="34"/>
  <c r="E84" i="29"/>
  <c r="E115" i="29"/>
  <c r="E132" i="34"/>
  <c r="E123" i="29"/>
  <c r="E66" i="29"/>
  <c r="E86" i="29"/>
  <c r="E27" i="29"/>
  <c r="E122" i="29"/>
  <c r="E106" i="29"/>
  <c r="E114" i="29"/>
  <c r="E22" i="29"/>
  <c r="E10" i="29"/>
  <c r="E77" i="29"/>
  <c r="E33" i="29"/>
  <c r="E133" i="34"/>
  <c r="E32" i="29"/>
  <c r="E7" i="29"/>
  <c r="E87" i="29"/>
  <c r="E98" i="29"/>
  <c r="E105" i="29"/>
  <c r="E12" i="29"/>
  <c r="E28" i="29"/>
  <c r="E8" i="29"/>
  <c r="E76" i="29"/>
  <c r="E65" i="29"/>
  <c r="E110" i="29"/>
  <c r="E107" i="29"/>
  <c r="E119" i="29"/>
  <c r="E118" i="29"/>
  <c r="E46" i="40"/>
  <c r="E46" i="41"/>
  <c r="E55" i="40"/>
  <c r="E55" i="41"/>
  <c r="E52" i="41"/>
  <c r="E97" i="27"/>
  <c r="E9" i="51"/>
  <c r="E46" i="51"/>
  <c r="E86" i="27"/>
  <c r="E27" i="51"/>
  <c r="E106" i="27"/>
  <c r="E22" i="51"/>
  <c r="E10" i="51"/>
  <c r="E7" i="51"/>
  <c r="E8" i="51"/>
  <c r="E76" i="27"/>
  <c r="E65" i="27"/>
  <c r="E110" i="27"/>
  <c r="E118" i="27"/>
  <c r="E9" i="25"/>
  <c r="E27" i="25"/>
  <c r="E55" i="25"/>
  <c r="E46" i="25"/>
  <c r="E46" i="26"/>
  <c r="E135" i="26"/>
  <c r="E47" i="26"/>
  <c r="E52" i="25"/>
  <c r="E133" i="26"/>
  <c r="E7" i="25"/>
  <c r="E134" i="26"/>
  <c r="E132" i="26"/>
  <c r="E8" i="25"/>
  <c r="E97" i="23"/>
  <c r="E9" i="24"/>
  <c r="E116" i="23"/>
  <c r="E115" i="23"/>
  <c r="E86" i="23"/>
  <c r="E27" i="23"/>
  <c r="E27" i="24"/>
  <c r="E122" i="23"/>
  <c r="E106" i="23"/>
  <c r="E114" i="23"/>
  <c r="E22" i="23"/>
  <c r="E22" i="24"/>
  <c r="E10" i="24"/>
  <c r="E7" i="24"/>
  <c r="E28" i="23"/>
  <c r="E28" i="24"/>
  <c r="E8" i="24"/>
  <c r="E76" i="23"/>
  <c r="E65" i="23"/>
  <c r="E110" i="23"/>
  <c r="E118" i="23"/>
  <c r="E9" i="22"/>
  <c r="E46" i="21"/>
  <c r="E46" i="22"/>
  <c r="E53" i="22"/>
  <c r="E55" i="22"/>
  <c r="E47" i="22"/>
  <c r="E52" i="21"/>
  <c r="E52" i="22"/>
  <c r="E7" i="22"/>
  <c r="E8" i="22"/>
  <c r="E66" i="20"/>
  <c r="E27" i="20"/>
  <c r="E22" i="20"/>
  <c r="E10" i="20"/>
  <c r="E77" i="20"/>
  <c r="E7" i="19"/>
  <c r="E7" i="20"/>
  <c r="E87" i="20"/>
  <c r="E98" i="20"/>
  <c r="E28" i="20"/>
  <c r="E9" i="19"/>
  <c r="E9" i="20"/>
  <c r="E46" i="20"/>
  <c r="E8" i="19"/>
  <c r="E8" i="20"/>
  <c r="E119" i="20"/>
  <c r="E111" i="20"/>
  <c r="E97" i="13"/>
  <c r="E9" i="13"/>
  <c r="E46" i="13"/>
  <c r="E84" i="13"/>
  <c r="E86" i="13"/>
  <c r="E27" i="13"/>
  <c r="E122" i="13"/>
  <c r="E35" i="13"/>
  <c r="E106" i="13"/>
  <c r="E114" i="13"/>
  <c r="E22" i="13"/>
  <c r="E10" i="13"/>
  <c r="E55" i="13"/>
  <c r="E33" i="13"/>
  <c r="E11" i="13"/>
  <c r="E47" i="13"/>
  <c r="E52" i="13"/>
  <c r="E133" i="13"/>
  <c r="E32" i="13"/>
  <c r="E7" i="13"/>
  <c r="E87" i="13"/>
  <c r="E98" i="13"/>
  <c r="E105" i="13"/>
  <c r="E12" i="13"/>
  <c r="E28" i="13"/>
  <c r="E34" i="13"/>
  <c r="E8" i="13"/>
  <c r="E76" i="13"/>
  <c r="E65" i="13"/>
  <c r="E110" i="13"/>
  <c r="E107" i="13"/>
  <c r="E118" i="13"/>
  <c r="G123" i="4"/>
  <c r="D114" i="4"/>
  <c r="D106" i="4"/>
  <c r="G106" i="4"/>
  <c r="G107" i="4"/>
  <c r="D115" i="4"/>
  <c r="D122" i="4"/>
  <c r="D123" i="4"/>
  <c r="D107" i="4"/>
  <c r="E76" i="16"/>
  <c r="E65" i="16"/>
  <c r="E133" i="16"/>
  <c r="E32" i="16"/>
  <c r="E22" i="16"/>
  <c r="E97" i="16"/>
  <c r="E9" i="16"/>
  <c r="E84" i="16"/>
  <c r="E87" i="16"/>
  <c r="E114" i="16"/>
  <c r="D22" i="4"/>
  <c r="E123" i="16"/>
  <c r="E66" i="16"/>
  <c r="E86" i="16"/>
  <c r="E124" i="16"/>
  <c r="D134" i="4"/>
  <c r="E27" i="16"/>
  <c r="E122" i="16"/>
  <c r="D55" i="4"/>
  <c r="E105" i="16"/>
  <c r="E12" i="16"/>
  <c r="E73" i="16"/>
  <c r="E10" i="16"/>
  <c r="E111" i="16"/>
  <c r="E116" i="16"/>
  <c r="E115" i="16"/>
  <c r="E107" i="16"/>
  <c r="E98" i="16"/>
  <c r="E94" i="16"/>
  <c r="E120" i="16"/>
  <c r="D34" i="4"/>
  <c r="E77" i="16"/>
  <c r="E11" i="16"/>
  <c r="E106" i="16"/>
  <c r="E108" i="16"/>
  <c r="E112" i="16"/>
  <c r="E119" i="16"/>
  <c r="E118" i="16"/>
  <c r="G22" i="4"/>
  <c r="E75" i="4"/>
  <c r="D111" i="4"/>
  <c r="E96" i="4"/>
  <c r="E85" i="4"/>
  <c r="D135" i="4"/>
  <c r="E135" i="16"/>
  <c r="D10" i="4"/>
  <c r="D110" i="4"/>
  <c r="E110" i="16"/>
  <c r="D53" i="4"/>
  <c r="D118" i="4"/>
  <c r="D7" i="4"/>
  <c r="E7" i="16"/>
  <c r="D66" i="4"/>
  <c r="D8" i="4"/>
  <c r="E8" i="16"/>
  <c r="D132" i="4"/>
  <c r="E132" i="16"/>
  <c r="D33" i="4"/>
  <c r="E33" i="16"/>
  <c r="D28" i="4"/>
  <c r="E28" i="16"/>
  <c r="G7" i="4"/>
  <c r="D46" i="4"/>
  <c r="G84" i="4"/>
  <c r="G105" i="4"/>
  <c r="G111" i="4"/>
  <c r="D52" i="4"/>
  <c r="D47" i="4"/>
  <c r="D12" i="4"/>
  <c r="D35" i="4"/>
  <c r="D32" i="4"/>
  <c r="D11" i="4"/>
  <c r="K85" i="16"/>
  <c r="G119" i="4"/>
  <c r="G98" i="4"/>
  <c r="G12" i="4"/>
  <c r="J85" i="16"/>
  <c r="G32" i="4"/>
  <c r="D119" i="4"/>
  <c r="G11" i="4"/>
  <c r="H22" i="4"/>
  <c r="G28" i="4"/>
  <c r="D65" i="4"/>
  <c r="D98" i="4"/>
  <c r="D56" i="4"/>
  <c r="G10" i="4"/>
  <c r="G77" i="4"/>
  <c r="D87" i="4"/>
  <c r="J96" i="16"/>
  <c r="G33" i="4"/>
  <c r="D97" i="4"/>
  <c r="D84" i="4"/>
  <c r="D105" i="4"/>
  <c r="D133" i="4"/>
  <c r="G87" i="4"/>
  <c r="G133" i="4"/>
  <c r="D27" i="4"/>
  <c r="G132" i="4"/>
  <c r="K96" i="16"/>
  <c r="C109" i="4"/>
  <c r="B51" i="4"/>
  <c r="B38" i="10" s="1"/>
  <c r="F117" i="4"/>
  <c r="J64" i="16"/>
  <c r="C117" i="4"/>
  <c r="D76" i="4"/>
  <c r="C51" i="4"/>
  <c r="C54" i="4"/>
  <c r="G66" i="4"/>
  <c r="D86" i="4"/>
  <c r="D77" i="4"/>
  <c r="C75" i="4"/>
  <c r="K75" i="16"/>
  <c r="K64" i="16"/>
  <c r="J75" i="16"/>
  <c r="E64" i="4"/>
  <c r="D9" i="4"/>
  <c r="E117" i="4"/>
  <c r="F43" i="10" s="1"/>
  <c r="B109" i="4"/>
  <c r="B32" i="10" s="1"/>
  <c r="B117" i="4"/>
  <c r="B43" i="10" s="1"/>
  <c r="E109" i="4"/>
  <c r="F32" i="10" s="1"/>
  <c r="F109" i="4"/>
  <c r="B54" i="4"/>
  <c r="B49" i="10" s="1"/>
  <c r="B45" i="4"/>
  <c r="B11" i="10" s="1"/>
  <c r="C45" i="4"/>
  <c r="K117" i="16"/>
  <c r="K109" i="16"/>
  <c r="J109" i="16"/>
  <c r="J117" i="16"/>
  <c r="L117" i="35" l="1"/>
  <c r="L75" i="23"/>
  <c r="I75" i="16"/>
  <c r="I75" i="27"/>
  <c r="I75" i="29"/>
  <c r="I75" i="20"/>
  <c r="G75" i="4"/>
  <c r="I75" i="23"/>
  <c r="I75" i="13"/>
  <c r="I75" i="33"/>
  <c r="L109" i="35"/>
  <c r="E54" i="37"/>
  <c r="I109" i="37"/>
  <c r="I109" i="18"/>
  <c r="I96" i="18"/>
  <c r="E75" i="18"/>
  <c r="I75" i="18"/>
  <c r="E117" i="37"/>
  <c r="E117" i="18"/>
  <c r="I117" i="37"/>
  <c r="I117" i="18"/>
  <c r="E45" i="37"/>
  <c r="E45" i="18"/>
  <c r="E96" i="18"/>
  <c r="I85" i="37"/>
  <c r="I85" i="18"/>
  <c r="E109" i="37"/>
  <c r="E109" i="18"/>
  <c r="E51" i="37"/>
  <c r="I64" i="37"/>
  <c r="I64" i="18"/>
  <c r="I75" i="37"/>
  <c r="I74" i="16"/>
  <c r="L96" i="27"/>
  <c r="L85" i="29"/>
  <c r="E95" i="16"/>
  <c r="E95" i="33"/>
  <c r="E95" i="29"/>
  <c r="E95" i="37"/>
  <c r="E95" i="13"/>
  <c r="I96" i="37"/>
  <c r="I95" i="16"/>
  <c r="L117" i="13"/>
  <c r="E74" i="33"/>
  <c r="E74" i="29"/>
  <c r="E74" i="37"/>
  <c r="E74" i="13"/>
  <c r="E74" i="16"/>
  <c r="E64" i="37"/>
  <c r="E85" i="33"/>
  <c r="E85" i="37"/>
  <c r="E96" i="37"/>
  <c r="E75" i="37"/>
  <c r="L96" i="20"/>
  <c r="L109" i="29"/>
  <c r="L64" i="27"/>
  <c r="L109" i="13"/>
  <c r="L85" i="33"/>
  <c r="L96" i="29"/>
  <c r="L85" i="20"/>
  <c r="L117" i="23"/>
  <c r="L85" i="23"/>
  <c r="L96" i="23"/>
  <c r="L117" i="20"/>
  <c r="L109" i="27"/>
  <c r="E64" i="20"/>
  <c r="E64" i="16"/>
  <c r="E85" i="13"/>
  <c r="E85" i="16"/>
  <c r="E85" i="23"/>
  <c r="L85" i="16"/>
  <c r="E96" i="16"/>
  <c r="D96" i="4"/>
  <c r="L64" i="35"/>
  <c r="E96" i="29"/>
  <c r="E96" i="33"/>
  <c r="L85" i="27"/>
  <c r="L117" i="33"/>
  <c r="L75" i="16"/>
  <c r="L96" i="13"/>
  <c r="L64" i="33"/>
  <c r="G96" i="4"/>
  <c r="L85" i="35"/>
  <c r="L64" i="23"/>
  <c r="L64" i="13"/>
  <c r="L117" i="16"/>
  <c r="E64" i="23"/>
  <c r="L109" i="16"/>
  <c r="E64" i="13"/>
  <c r="E64" i="27"/>
  <c r="E64" i="29"/>
  <c r="E64" i="33"/>
  <c r="L64" i="16"/>
  <c r="L96" i="16"/>
  <c r="L109" i="33"/>
  <c r="D85" i="4"/>
  <c r="E96" i="20"/>
  <c r="E96" i="23"/>
  <c r="E85" i="27"/>
  <c r="E96" i="27"/>
  <c r="E85" i="29"/>
  <c r="L117" i="27"/>
  <c r="C43" i="10"/>
  <c r="I117" i="13"/>
  <c r="I117" i="20"/>
  <c r="I117" i="23"/>
  <c r="I117" i="27"/>
  <c r="I117" i="29"/>
  <c r="I117" i="35"/>
  <c r="I117" i="33"/>
  <c r="G43" i="10"/>
  <c r="I117" i="16"/>
  <c r="G85" i="4"/>
  <c r="F22" i="10"/>
  <c r="I96" i="20"/>
  <c r="I96" i="13"/>
  <c r="I96" i="23"/>
  <c r="I96" i="29"/>
  <c r="I96" i="27"/>
  <c r="I96" i="33"/>
  <c r="I96" i="16"/>
  <c r="D64" i="4"/>
  <c r="B12" i="10"/>
  <c r="I64" i="13"/>
  <c r="I64" i="20"/>
  <c r="I64" i="27"/>
  <c r="I64" i="29"/>
  <c r="I64" i="35"/>
  <c r="I64" i="33"/>
  <c r="G12" i="10"/>
  <c r="I64" i="23"/>
  <c r="I64" i="16"/>
  <c r="G64" i="4"/>
  <c r="F12" i="10"/>
  <c r="E51" i="39"/>
  <c r="C38" i="10"/>
  <c r="E51" i="16"/>
  <c r="I109" i="13"/>
  <c r="I109" i="20"/>
  <c r="I109" i="23"/>
  <c r="I109" i="27"/>
  <c r="I109" i="29"/>
  <c r="I109" i="35"/>
  <c r="I109" i="33"/>
  <c r="G32" i="10"/>
  <c r="I109" i="16"/>
  <c r="E54" i="39"/>
  <c r="E54" i="16"/>
  <c r="C49" i="10"/>
  <c r="C32" i="10"/>
  <c r="C22" i="10"/>
  <c r="E45" i="39"/>
  <c r="C11" i="10"/>
  <c r="E45" i="16"/>
  <c r="C12" i="10"/>
  <c r="I85" i="13"/>
  <c r="I85" i="20"/>
  <c r="I85" i="27"/>
  <c r="I85" i="29"/>
  <c r="I85" i="23"/>
  <c r="I85" i="33"/>
  <c r="I85" i="35"/>
  <c r="G22" i="10"/>
  <c r="I85" i="16"/>
  <c r="L64" i="20"/>
  <c r="L109" i="20"/>
  <c r="L85" i="13"/>
  <c r="L117" i="29"/>
  <c r="L64" i="29"/>
  <c r="L75" i="29"/>
  <c r="L109" i="23"/>
  <c r="E96" i="13"/>
  <c r="E85" i="20"/>
  <c r="L75" i="13"/>
  <c r="E45" i="38"/>
  <c r="E75" i="33"/>
  <c r="E109" i="33"/>
  <c r="E45" i="33"/>
  <c r="E117" i="33"/>
  <c r="E51" i="33"/>
  <c r="E54" i="33"/>
  <c r="E45" i="34"/>
  <c r="E117" i="29"/>
  <c r="E75" i="29"/>
  <c r="E109" i="29"/>
  <c r="E51" i="41"/>
  <c r="E54" i="40"/>
  <c r="E54" i="41"/>
  <c r="E45" i="40"/>
  <c r="E45" i="41"/>
  <c r="E75" i="27"/>
  <c r="E109" i="27"/>
  <c r="E45" i="51"/>
  <c r="E117" i="27"/>
  <c r="E51" i="25"/>
  <c r="E45" i="25"/>
  <c r="E45" i="26"/>
  <c r="E54" i="25"/>
  <c r="E117" i="23"/>
  <c r="E75" i="23"/>
  <c r="E109" i="23"/>
  <c r="E54" i="22"/>
  <c r="E45" i="21"/>
  <c r="E45" i="22"/>
  <c r="E51" i="21"/>
  <c r="E51" i="22"/>
  <c r="E117" i="20"/>
  <c r="E45" i="20"/>
  <c r="E75" i="20"/>
  <c r="E109" i="20"/>
  <c r="E51" i="13"/>
  <c r="E75" i="13"/>
  <c r="E54" i="13"/>
  <c r="E109" i="13"/>
  <c r="E45" i="13"/>
  <c r="E117" i="13"/>
  <c r="E109" i="16"/>
  <c r="E117" i="16"/>
  <c r="D109" i="4"/>
  <c r="D75" i="4"/>
  <c r="E75" i="16"/>
  <c r="D117" i="4"/>
  <c r="G109" i="4"/>
  <c r="D51" i="4"/>
  <c r="G117" i="4"/>
  <c r="D54" i="4"/>
  <c r="D45" i="4"/>
  <c r="I71" i="4"/>
  <c r="I82" i="4"/>
  <c r="C60" i="10" l="1"/>
  <c r="H82" i="4"/>
  <c r="H80" i="4"/>
  <c r="H69" i="4"/>
  <c r="H90" i="4"/>
  <c r="H105" i="4"/>
  <c r="H104" i="4"/>
  <c r="H83" i="4"/>
  <c r="H100" i="4"/>
  <c r="H71" i="4"/>
  <c r="H112" i="4"/>
  <c r="H114" i="4"/>
  <c r="H79" i="4"/>
  <c r="H93" i="4"/>
  <c r="H72" i="4"/>
  <c r="H92" i="4"/>
  <c r="H89" i="4"/>
  <c r="H102" i="4"/>
  <c r="H103" i="4"/>
  <c r="H91" i="4"/>
  <c r="H121" i="4"/>
  <c r="H27" i="4"/>
  <c r="H68" i="4"/>
  <c r="H113" i="4"/>
  <c r="H101" i="4"/>
  <c r="H96" i="4" l="1"/>
  <c r="H115" i="4"/>
  <c r="H97" i="4"/>
  <c r="H24" i="4"/>
  <c r="H88" i="4"/>
  <c r="H70" i="4"/>
  <c r="H116" i="4"/>
  <c r="J116" i="4" s="1"/>
  <c r="H26" i="4"/>
  <c r="H76" i="4"/>
  <c r="D9" i="10"/>
  <c r="H122" i="4"/>
  <c r="H110" i="4"/>
  <c r="H86" i="4"/>
  <c r="H9" i="4"/>
  <c r="H8" i="4"/>
  <c r="H77" i="4"/>
  <c r="H81" i="4"/>
  <c r="H120" i="4"/>
  <c r="H78" i="4"/>
  <c r="H14" i="10"/>
  <c r="H35" i="4"/>
  <c r="H119" i="4"/>
  <c r="I119" i="4"/>
  <c r="I110" i="4"/>
  <c r="I9" i="4"/>
  <c r="I107" i="4"/>
  <c r="K49" i="10"/>
  <c r="H111" i="4"/>
  <c r="I103" i="4"/>
  <c r="I91" i="4"/>
  <c r="I106" i="4"/>
  <c r="H11" i="4"/>
  <c r="I83" i="4"/>
  <c r="I120" i="4"/>
  <c r="I77" i="4"/>
  <c r="I98" i="4"/>
  <c r="I102" i="4"/>
  <c r="H108" i="4"/>
  <c r="J108" i="4" s="1"/>
  <c r="H25" i="4"/>
  <c r="H123" i="4"/>
  <c r="H84" i="4"/>
  <c r="H42" i="10"/>
  <c r="H21" i="10"/>
  <c r="I118" i="4"/>
  <c r="I79" i="4"/>
  <c r="I99" i="4"/>
  <c r="H99" i="4"/>
  <c r="I27" i="4"/>
  <c r="H107" i="4"/>
  <c r="I31" i="4"/>
  <c r="I65" i="4"/>
  <c r="K11" i="10"/>
  <c r="I23" i="4"/>
  <c r="H22" i="10"/>
  <c r="H106" i="4"/>
  <c r="I93" i="4"/>
  <c r="H10" i="4"/>
  <c r="I124" i="4"/>
  <c r="H36" i="4"/>
  <c r="I75" i="4"/>
  <c r="I86" i="4"/>
  <c r="I89" i="4"/>
  <c r="I115" i="4"/>
  <c r="I101" i="4"/>
  <c r="H65" i="4"/>
  <c r="H12" i="10"/>
  <c r="I114" i="4"/>
  <c r="I116" i="4"/>
  <c r="H118" i="4"/>
  <c r="I108" i="4"/>
  <c r="I111" i="4"/>
  <c r="I67" i="4"/>
  <c r="I88" i="4"/>
  <c r="I76" i="4"/>
  <c r="I113" i="4"/>
  <c r="K26" i="10"/>
  <c r="I78" i="4"/>
  <c r="I96" i="4"/>
  <c r="I97" i="4"/>
  <c r="K9" i="10"/>
  <c r="H75" i="4"/>
  <c r="I90" i="4"/>
  <c r="H24" i="10"/>
  <c r="I30" i="4"/>
  <c r="I24" i="4"/>
  <c r="H67" i="4"/>
  <c r="H124" i="4"/>
  <c r="J124" i="4" s="1"/>
  <c r="K16" i="10"/>
  <c r="I70" i="4"/>
  <c r="I29" i="4"/>
  <c r="H34" i="4"/>
  <c r="I121" i="4"/>
  <c r="K45" i="10"/>
  <c r="H37" i="4"/>
  <c r="I92" i="4"/>
  <c r="I105" i="4"/>
  <c r="I80" i="4"/>
  <c r="I100" i="4"/>
  <c r="I72" i="4"/>
  <c r="I8" i="4"/>
  <c r="I112" i="4"/>
  <c r="I81" i="4"/>
  <c r="I84" i="4"/>
  <c r="I104" i="4"/>
  <c r="H10" i="10"/>
  <c r="I122" i="4"/>
  <c r="I68" i="4"/>
  <c r="H98" i="4"/>
  <c r="H7" i="4"/>
  <c r="H23" i="4"/>
  <c r="H15" i="10"/>
  <c r="I69" i="4"/>
  <c r="I123" i="4"/>
  <c r="M65" i="37" l="1"/>
  <c r="M65" i="18"/>
  <c r="M105" i="37"/>
  <c r="M77" i="37"/>
  <c r="M77" i="18"/>
  <c r="M122" i="37"/>
  <c r="M122" i="18"/>
  <c r="M86" i="37"/>
  <c r="M86" i="18"/>
  <c r="M76" i="37"/>
  <c r="M76" i="18"/>
  <c r="M98" i="37"/>
  <c r="M98" i="18"/>
  <c r="M84" i="37"/>
  <c r="M107" i="37"/>
  <c r="M107" i="18"/>
  <c r="M97" i="37"/>
  <c r="M97" i="18"/>
  <c r="M111" i="37"/>
  <c r="M111" i="18"/>
  <c r="M115" i="37"/>
  <c r="M115" i="18"/>
  <c r="M27" i="37"/>
  <c r="M27" i="18"/>
  <c r="M96" i="18"/>
  <c r="M9" i="37"/>
  <c r="M9" i="18"/>
  <c r="M8" i="37"/>
  <c r="M8" i="18"/>
  <c r="M106" i="37"/>
  <c r="M106" i="18"/>
  <c r="M110" i="37"/>
  <c r="M110" i="18"/>
  <c r="J120" i="4"/>
  <c r="M119" i="37"/>
  <c r="M119" i="18"/>
  <c r="M123" i="37"/>
  <c r="M123" i="18"/>
  <c r="M114" i="37"/>
  <c r="M114" i="18"/>
  <c r="M75" i="18"/>
  <c r="M118" i="37"/>
  <c r="M118" i="18"/>
  <c r="J112" i="4"/>
  <c r="M96" i="37"/>
  <c r="M95" i="37"/>
  <c r="M95" i="13"/>
  <c r="M95" i="29"/>
  <c r="M95" i="33"/>
  <c r="M95" i="16"/>
  <c r="M75" i="37"/>
  <c r="M74" i="37"/>
  <c r="M74" i="33"/>
  <c r="M74" i="29"/>
  <c r="M74" i="13"/>
  <c r="M74" i="16"/>
  <c r="M116" i="16"/>
  <c r="M86" i="13"/>
  <c r="M86" i="27"/>
  <c r="M86" i="29"/>
  <c r="M86" i="23"/>
  <c r="M86" i="16"/>
  <c r="M86" i="33"/>
  <c r="J27" i="4"/>
  <c r="M27" i="20"/>
  <c r="M27" i="25"/>
  <c r="M27" i="23"/>
  <c r="M27" i="24"/>
  <c r="M27" i="51"/>
  <c r="M27" i="29"/>
  <c r="M27" i="16"/>
  <c r="M27" i="13"/>
  <c r="M27" i="33"/>
  <c r="M119" i="23"/>
  <c r="M119" i="13"/>
  <c r="M119" i="27"/>
  <c r="M119" i="29"/>
  <c r="M119" i="33"/>
  <c r="M119" i="20"/>
  <c r="M119" i="35"/>
  <c r="M119" i="16"/>
  <c r="M123" i="23"/>
  <c r="M123" i="27"/>
  <c r="M123" i="13"/>
  <c r="M123" i="29"/>
  <c r="M123" i="33"/>
  <c r="M123" i="16"/>
  <c r="M122" i="13"/>
  <c r="M122" i="23"/>
  <c r="M122" i="29"/>
  <c r="M122" i="16"/>
  <c r="M112" i="16"/>
  <c r="M112" i="33"/>
  <c r="M76" i="23"/>
  <c r="M76" i="27"/>
  <c r="M76" i="13"/>
  <c r="M76" i="16"/>
  <c r="M76" i="29"/>
  <c r="M76" i="33"/>
  <c r="M111" i="23"/>
  <c r="M111" i="13"/>
  <c r="M111" i="27"/>
  <c r="M111" i="20"/>
  <c r="M111" i="29"/>
  <c r="M111" i="33"/>
  <c r="M111" i="16"/>
  <c r="M111" i="35"/>
  <c r="J114" i="4"/>
  <c r="M114" i="13"/>
  <c r="M114" i="23"/>
  <c r="M114" i="29"/>
  <c r="M114" i="33"/>
  <c r="M114" i="16"/>
  <c r="M115" i="23"/>
  <c r="M115" i="27"/>
  <c r="M115" i="13"/>
  <c r="M115" i="29"/>
  <c r="M115" i="33"/>
  <c r="M115" i="35"/>
  <c r="M115" i="16"/>
  <c r="M77" i="13"/>
  <c r="M77" i="20"/>
  <c r="M77" i="23"/>
  <c r="M77" i="33"/>
  <c r="M77" i="29"/>
  <c r="M77" i="27"/>
  <c r="M77" i="16"/>
  <c r="M8" i="20"/>
  <c r="M8" i="13"/>
  <c r="M8" i="22"/>
  <c r="M8" i="24"/>
  <c r="M8" i="51"/>
  <c r="M8" i="25"/>
  <c r="M8" i="29"/>
  <c r="M8" i="33"/>
  <c r="M8" i="19"/>
  <c r="M8" i="16"/>
  <c r="M97" i="23"/>
  <c r="M97" i="27"/>
  <c r="M97" i="16"/>
  <c r="M97" i="29"/>
  <c r="M97" i="13"/>
  <c r="M97" i="33"/>
  <c r="M108" i="33"/>
  <c r="M108" i="16"/>
  <c r="M118" i="13"/>
  <c r="M118" i="23"/>
  <c r="M118" i="27"/>
  <c r="M118" i="29"/>
  <c r="M118" i="16"/>
  <c r="M98" i="13"/>
  <c r="M98" i="20"/>
  <c r="M98" i="29"/>
  <c r="M98" i="33"/>
  <c r="M98" i="27"/>
  <c r="M98" i="23"/>
  <c r="M98" i="16"/>
  <c r="M120" i="16"/>
  <c r="M120" i="33"/>
  <c r="M106" i="13"/>
  <c r="M106" i="23"/>
  <c r="M106" i="33"/>
  <c r="M106" i="29"/>
  <c r="M106" i="27"/>
  <c r="M106" i="16"/>
  <c r="M9" i="19"/>
  <c r="M9" i="25"/>
  <c r="M9" i="20"/>
  <c r="M9" i="22"/>
  <c r="M9" i="51"/>
  <c r="M9" i="13"/>
  <c r="M9" i="16"/>
  <c r="M9" i="29"/>
  <c r="M9" i="24"/>
  <c r="M9" i="33"/>
  <c r="M84" i="35"/>
  <c r="M84" i="16"/>
  <c r="M84" i="29"/>
  <c r="M84" i="13"/>
  <c r="M84" i="33"/>
  <c r="J105" i="4"/>
  <c r="M105" i="13"/>
  <c r="M105" i="35"/>
  <c r="M105" i="16"/>
  <c r="M105" i="29"/>
  <c r="M105" i="33"/>
  <c r="M96" i="20"/>
  <c r="M96" i="13"/>
  <c r="M96" i="23"/>
  <c r="M96" i="27"/>
  <c r="M96" i="29"/>
  <c r="M96" i="33"/>
  <c r="M96" i="16"/>
  <c r="M75" i="20"/>
  <c r="M75" i="13"/>
  <c r="M75" i="27"/>
  <c r="M75" i="23"/>
  <c r="M75" i="29"/>
  <c r="M75" i="33"/>
  <c r="M75" i="16"/>
  <c r="M124" i="16"/>
  <c r="M65" i="13"/>
  <c r="M65" i="23"/>
  <c r="M65" i="27"/>
  <c r="M65" i="29"/>
  <c r="M65" i="16"/>
  <c r="M65" i="33"/>
  <c r="M107" i="27"/>
  <c r="M107" i="13"/>
  <c r="M107" i="23"/>
  <c r="M107" i="29"/>
  <c r="M107" i="35"/>
  <c r="M107" i="16"/>
  <c r="M107" i="33"/>
  <c r="M110" i="13"/>
  <c r="M110" i="23"/>
  <c r="M110" i="27"/>
  <c r="M110" i="33"/>
  <c r="M110" i="29"/>
  <c r="M110" i="16"/>
  <c r="J106" i="4"/>
  <c r="M42" i="8"/>
  <c r="D40" i="9"/>
  <c r="N71" i="8"/>
  <c r="H65" i="9"/>
  <c r="B66" i="9"/>
  <c r="M43" i="8"/>
  <c r="D41" i="9"/>
  <c r="M38" i="8"/>
  <c r="D36" i="9"/>
  <c r="C53" i="9"/>
  <c r="N13" i="8"/>
  <c r="H52" i="9"/>
  <c r="N62" i="8"/>
  <c r="N46" i="8"/>
  <c r="G55" i="9"/>
  <c r="G49" i="9"/>
  <c r="G31" i="9"/>
  <c r="M29" i="8"/>
  <c r="B71" i="9"/>
  <c r="D30" i="9"/>
  <c r="D14" i="9"/>
  <c r="B54" i="9"/>
  <c r="M14" i="8"/>
  <c r="M22" i="8"/>
  <c r="D22" i="9"/>
  <c r="B62" i="9"/>
  <c r="M36" i="8"/>
  <c r="B45" i="9"/>
  <c r="D34" i="9"/>
  <c r="G52" i="9"/>
  <c r="M62" i="8"/>
  <c r="G50" i="9"/>
  <c r="M60" i="8"/>
  <c r="I10" i="9"/>
  <c r="M70" i="8"/>
  <c r="G64" i="9"/>
  <c r="I24" i="9"/>
  <c r="H54" i="9"/>
  <c r="N64" i="8"/>
  <c r="G63" i="9"/>
  <c r="N10" i="8"/>
  <c r="C50" i="9"/>
  <c r="B70" i="9"/>
  <c r="D29" i="9"/>
  <c r="M28" i="8"/>
  <c r="M87" i="8"/>
  <c r="I36" i="9"/>
  <c r="M69" i="8"/>
  <c r="G60" i="9"/>
  <c r="I20" i="9"/>
  <c r="N42" i="8"/>
  <c r="N12" i="8"/>
  <c r="C52" i="9"/>
  <c r="N22" i="8"/>
  <c r="C62" i="9"/>
  <c r="M19" i="8"/>
  <c r="B59" i="9"/>
  <c r="D19" i="9"/>
  <c r="H55" i="9"/>
  <c r="N40" i="8"/>
  <c r="D39" i="9"/>
  <c r="M41" i="8"/>
  <c r="N39" i="8"/>
  <c r="N27" i="8"/>
  <c r="C69" i="9"/>
  <c r="N63" i="8"/>
  <c r="H53" i="9"/>
  <c r="N45" i="8"/>
  <c r="M46" i="8"/>
  <c r="D44" i="9"/>
  <c r="B69" i="9"/>
  <c r="H31" i="9"/>
  <c r="J24" i="9" s="1"/>
  <c r="H49" i="9"/>
  <c r="I19" i="9"/>
  <c r="M68" i="8"/>
  <c r="G59" i="9"/>
  <c r="N93" i="8"/>
  <c r="N11" i="8"/>
  <c r="C51" i="9"/>
  <c r="M86" i="8"/>
  <c r="I35" i="9"/>
  <c r="G54" i="9"/>
  <c r="M64" i="8"/>
  <c r="H58" i="9"/>
  <c r="N67" i="8"/>
  <c r="D43" i="9"/>
  <c r="M45" i="8"/>
  <c r="H62" i="9"/>
  <c r="I21" i="9"/>
  <c r="G61" i="9"/>
  <c r="D13" i="9"/>
  <c r="M13" i="8"/>
  <c r="B53" i="9"/>
  <c r="N87" i="8"/>
  <c r="M93" i="8"/>
  <c r="I42" i="9"/>
  <c r="B65" i="9"/>
  <c r="M25" i="8"/>
  <c r="D25" i="9"/>
  <c r="N19" i="8"/>
  <c r="C59" i="9"/>
  <c r="H59" i="9"/>
  <c r="N68" i="8"/>
  <c r="M20" i="8"/>
  <c r="D20" i="9"/>
  <c r="B60" i="9"/>
  <c r="N20" i="8"/>
  <c r="C60" i="9"/>
  <c r="D11" i="9"/>
  <c r="M11" i="8"/>
  <c r="B51" i="9"/>
  <c r="G67" i="9"/>
  <c r="M72" i="8"/>
  <c r="I26" i="9"/>
  <c r="M88" i="8"/>
  <c r="I37" i="9"/>
  <c r="H57" i="9"/>
  <c r="G62" i="9"/>
  <c r="I27" i="9"/>
  <c r="M73" i="8"/>
  <c r="G68" i="9"/>
  <c r="G71" i="9"/>
  <c r="N73" i="8"/>
  <c r="H68" i="9"/>
  <c r="N74" i="8"/>
  <c r="H69" i="9"/>
  <c r="N95" i="8"/>
  <c r="B50" i="9"/>
  <c r="D10" i="9"/>
  <c r="M10" i="8"/>
  <c r="N43" i="8"/>
  <c r="C66" i="9"/>
  <c r="H64" i="9"/>
  <c r="N70" i="8"/>
  <c r="N88" i="8"/>
  <c r="H51" i="9"/>
  <c r="N61" i="8"/>
  <c r="C55" i="9"/>
  <c r="N15" i="8"/>
  <c r="I40" i="9"/>
  <c r="M91" i="8"/>
  <c r="B57" i="9"/>
  <c r="M17" i="8"/>
  <c r="D17" i="9"/>
  <c r="C49" i="9"/>
  <c r="C31" i="9"/>
  <c r="E16" i="9" s="1"/>
  <c r="N9" i="8"/>
  <c r="N91" i="8"/>
  <c r="C71" i="9"/>
  <c r="N29" i="8"/>
  <c r="G66" i="9"/>
  <c r="I41" i="9"/>
  <c r="M92" i="8"/>
  <c r="C68" i="9"/>
  <c r="N26" i="8"/>
  <c r="N90" i="8"/>
  <c r="D21" i="9"/>
  <c r="B61" i="9"/>
  <c r="M21" i="8"/>
  <c r="N16" i="8"/>
  <c r="C56" i="9"/>
  <c r="N94" i="8"/>
  <c r="C45" i="9"/>
  <c r="E34" i="9" s="1"/>
  <c r="N36" i="8"/>
  <c r="M40" i="8"/>
  <c r="D38" i="9"/>
  <c r="M71" i="8"/>
  <c r="I25" i="9"/>
  <c r="G65" i="9"/>
  <c r="N38" i="8"/>
  <c r="B64" i="9"/>
  <c r="D24" i="9"/>
  <c r="M24" i="8"/>
  <c r="H60" i="9"/>
  <c r="N69" i="8"/>
  <c r="D35" i="9"/>
  <c r="M37" i="8"/>
  <c r="N89" i="8"/>
  <c r="D28" i="9"/>
  <c r="M27" i="8"/>
  <c r="M61" i="8"/>
  <c r="I11" i="9"/>
  <c r="G51" i="9"/>
  <c r="H45" i="9"/>
  <c r="J38" i="9" s="1"/>
  <c r="N85" i="8"/>
  <c r="C65" i="9"/>
  <c r="N25" i="8"/>
  <c r="N37" i="8"/>
  <c r="B56" i="9"/>
  <c r="D16" i="9"/>
  <c r="M16" i="8"/>
  <c r="N21" i="8"/>
  <c r="C61" i="9"/>
  <c r="H71" i="9"/>
  <c r="N86" i="8"/>
  <c r="N23" i="8"/>
  <c r="C63" i="9"/>
  <c r="N28" i="8"/>
  <c r="C70" i="9"/>
  <c r="H50" i="9"/>
  <c r="N60" i="8"/>
  <c r="I38" i="9"/>
  <c r="M89" i="8"/>
  <c r="D12" i="9"/>
  <c r="M12" i="8"/>
  <c r="B52" i="9"/>
  <c r="C54" i="9"/>
  <c r="N14" i="8"/>
  <c r="I34" i="9"/>
  <c r="G45" i="9"/>
  <c r="F27" i="10" s="1"/>
  <c r="M85" i="8"/>
  <c r="N17" i="8"/>
  <c r="C57" i="9"/>
  <c r="H66" i="9"/>
  <c r="N92" i="8"/>
  <c r="D42" i="9"/>
  <c r="M44" i="8"/>
  <c r="B67" i="9"/>
  <c r="M26" i="8"/>
  <c r="D27" i="9"/>
  <c r="B68" i="9"/>
  <c r="H56" i="9"/>
  <c r="M94" i="8"/>
  <c r="I43" i="9"/>
  <c r="H61" i="9"/>
  <c r="D18" i="9"/>
  <c r="M18" i="8"/>
  <c r="B58" i="9"/>
  <c r="H70" i="9"/>
  <c r="N18" i="8"/>
  <c r="C58" i="9"/>
  <c r="M95" i="8"/>
  <c r="I44" i="9"/>
  <c r="B31" i="9"/>
  <c r="B17" i="10" s="1"/>
  <c r="B49" i="9"/>
  <c r="M9" i="8"/>
  <c r="N41" i="8"/>
  <c r="M67" i="8"/>
  <c r="G58" i="9"/>
  <c r="M39" i="8"/>
  <c r="D37" i="9"/>
  <c r="B55" i="9"/>
  <c r="M15" i="8"/>
  <c r="D15" i="9"/>
  <c r="D23" i="9"/>
  <c r="M23" i="8"/>
  <c r="B63" i="9"/>
  <c r="G70" i="9"/>
  <c r="C67" i="9"/>
  <c r="H63" i="9"/>
  <c r="N44" i="8"/>
  <c r="I13" i="9"/>
  <c r="G53" i="9"/>
  <c r="M63" i="8"/>
  <c r="H67" i="9"/>
  <c r="N72" i="8"/>
  <c r="I28" i="9"/>
  <c r="M74" i="8"/>
  <c r="G69" i="9"/>
  <c r="G56" i="9"/>
  <c r="I16" i="9"/>
  <c r="N24" i="8"/>
  <c r="C64" i="9"/>
  <c r="G57" i="9"/>
  <c r="I17" i="9"/>
  <c r="M90" i="8"/>
  <c r="I39" i="9"/>
  <c r="J107" i="4"/>
  <c r="J115" i="4"/>
  <c r="J123" i="4"/>
  <c r="J122" i="4"/>
  <c r="J118" i="4"/>
  <c r="J8" i="4"/>
  <c r="J110" i="4"/>
  <c r="J76" i="4"/>
  <c r="J9" i="4"/>
  <c r="J65" i="4"/>
  <c r="J84" i="4"/>
  <c r="J111" i="4"/>
  <c r="J86" i="4"/>
  <c r="J97" i="4"/>
  <c r="J98" i="4"/>
  <c r="J119" i="4"/>
  <c r="J75" i="4"/>
  <c r="J77" i="4"/>
  <c r="J96" i="4"/>
  <c r="K21" i="10"/>
  <c r="H73" i="4"/>
  <c r="H25" i="10"/>
  <c r="G55" i="10"/>
  <c r="H134" i="4"/>
  <c r="H94" i="4"/>
  <c r="K42" i="10"/>
  <c r="G53" i="10"/>
  <c r="H28" i="4"/>
  <c r="H87" i="4"/>
  <c r="K12" i="10"/>
  <c r="K14" i="10"/>
  <c r="K23" i="10"/>
  <c r="H85" i="4"/>
  <c r="H109" i="4"/>
  <c r="K44" i="10"/>
  <c r="K24" i="10"/>
  <c r="G46" i="10"/>
  <c r="H43" i="10"/>
  <c r="H30" i="4"/>
  <c r="H31" i="4"/>
  <c r="J10" i="10"/>
  <c r="D10" i="10"/>
  <c r="J24" i="10"/>
  <c r="D24" i="10"/>
  <c r="I25" i="4"/>
  <c r="B60" i="10"/>
  <c r="D38" i="10"/>
  <c r="J38" i="10"/>
  <c r="I35" i="4"/>
  <c r="E35" i="16"/>
  <c r="F55" i="10"/>
  <c r="H33" i="10"/>
  <c r="D23" i="10"/>
  <c r="J23" i="10"/>
  <c r="H32" i="4"/>
  <c r="H132" i="4"/>
  <c r="J14" i="10"/>
  <c r="D14" i="10"/>
  <c r="I85"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3" i="4"/>
  <c r="I135" i="4"/>
  <c r="D22" i="10"/>
  <c r="J22" i="10"/>
  <c r="G54" i="10"/>
  <c r="J31" i="10"/>
  <c r="B53" i="10"/>
  <c r="D31" i="10"/>
  <c r="J15" i="10"/>
  <c r="D15" i="10"/>
  <c r="I94" i="4"/>
  <c r="H20" i="10"/>
  <c r="K22" i="10"/>
  <c r="K10" i="10"/>
  <c r="D44" i="10"/>
  <c r="J44" i="10"/>
  <c r="I109" i="4"/>
  <c r="C55" i="10"/>
  <c r="K33" i="10"/>
  <c r="J13" i="10"/>
  <c r="D13" i="10"/>
  <c r="K13" i="10"/>
  <c r="H33" i="4"/>
  <c r="C56" i="10"/>
  <c r="K56" i="10" s="1"/>
  <c r="K34" i="10"/>
  <c r="I117" i="4"/>
  <c r="F35" i="10"/>
  <c r="F52" i="10"/>
  <c r="H30" i="10"/>
  <c r="I133" i="4"/>
  <c r="I28" i="4"/>
  <c r="H31" i="10"/>
  <c r="F53" i="10"/>
  <c r="I87" i="4"/>
  <c r="J32" i="10"/>
  <c r="D32" i="10"/>
  <c r="B54" i="10"/>
  <c r="I64" i="4"/>
  <c r="J20" i="10"/>
  <c r="D20" i="10"/>
  <c r="B56" i="10"/>
  <c r="J34" i="10"/>
  <c r="H64" i="4"/>
  <c r="H32" i="10"/>
  <c r="F54" i="10"/>
  <c r="I22" i="4"/>
  <c r="K41" i="10"/>
  <c r="C46" i="10"/>
  <c r="H117" i="4"/>
  <c r="H135" i="4"/>
  <c r="I134" i="4"/>
  <c r="H66" i="4"/>
  <c r="I66" i="4"/>
  <c r="I36" i="4"/>
  <c r="K43" i="10"/>
  <c r="I10" i="4"/>
  <c r="H133" i="4"/>
  <c r="H12" i="4"/>
  <c r="J26" i="10"/>
  <c r="L26" i="10" s="1"/>
  <c r="D26" i="10"/>
  <c r="I32" i="4"/>
  <c r="H9" i="10"/>
  <c r="J9" i="10"/>
  <c r="L9" i="10" s="1"/>
  <c r="J49" i="10"/>
  <c r="L49" i="10" s="1"/>
  <c r="D49" i="10"/>
  <c r="D21" i="10"/>
  <c r="J21" i="10"/>
  <c r="I37" i="4"/>
  <c r="I26" i="4"/>
  <c r="I34" i="4"/>
  <c r="E34" i="16"/>
  <c r="B35" i="10"/>
  <c r="J30" i="10"/>
  <c r="B52" i="10"/>
  <c r="D30" i="10"/>
  <c r="I7" i="4"/>
  <c r="K60" i="10"/>
  <c r="K38" i="10"/>
  <c r="H13" i="10"/>
  <c r="G35" i="10"/>
  <c r="G52" i="10"/>
  <c r="I33" i="4"/>
  <c r="D12" i="10"/>
  <c r="J12" i="10"/>
  <c r="I12" i="4"/>
  <c r="D43" i="10"/>
  <c r="J43" i="10"/>
  <c r="I132" i="4"/>
  <c r="I11" i="4"/>
  <c r="K20" i="10"/>
  <c r="D25" i="10"/>
  <c r="J25" i="10"/>
  <c r="D41" i="10"/>
  <c r="J41" i="10"/>
  <c r="B46" i="10"/>
  <c r="K31" i="10"/>
  <c r="C53" i="10"/>
  <c r="M33" i="37" l="1"/>
  <c r="M33" i="18"/>
  <c r="M22" i="37"/>
  <c r="M22" i="18"/>
  <c r="M28" i="37"/>
  <c r="M28" i="18"/>
  <c r="M133" i="37"/>
  <c r="M35" i="37"/>
  <c r="M135" i="37"/>
  <c r="M64" i="37"/>
  <c r="M64" i="18"/>
  <c r="M109" i="37"/>
  <c r="M109" i="18"/>
  <c r="M10" i="37"/>
  <c r="M10" i="18"/>
  <c r="M134" i="37"/>
  <c r="M73" i="37"/>
  <c r="M132" i="37"/>
  <c r="M34" i="37"/>
  <c r="M12" i="37"/>
  <c r="M12" i="18"/>
  <c r="M87" i="37"/>
  <c r="M87" i="18"/>
  <c r="M85" i="37"/>
  <c r="M85" i="18"/>
  <c r="M11" i="37"/>
  <c r="M11" i="18"/>
  <c r="M7" i="37"/>
  <c r="M7" i="18"/>
  <c r="M32" i="37"/>
  <c r="M32" i="18"/>
  <c r="M117" i="37"/>
  <c r="M117" i="18"/>
  <c r="M66" i="37"/>
  <c r="M66" i="18"/>
  <c r="M94" i="37"/>
  <c r="L24" i="10"/>
  <c r="L14" i="10"/>
  <c r="J37" i="4"/>
  <c r="J73" i="4"/>
  <c r="J94" i="4"/>
  <c r="L15" i="10"/>
  <c r="L42" i="10"/>
  <c r="J11" i="4"/>
  <c r="M11" i="13"/>
  <c r="M11" i="33"/>
  <c r="M11" i="23"/>
  <c r="M11" i="29"/>
  <c r="M11" i="35"/>
  <c r="M11" i="16"/>
  <c r="J10" i="4"/>
  <c r="M10" i="20"/>
  <c r="M10" i="23"/>
  <c r="M10" i="13"/>
  <c r="M10" i="24"/>
  <c r="M10" i="35"/>
  <c r="M10" i="51"/>
  <c r="M10" i="16"/>
  <c r="M10" i="29"/>
  <c r="M10" i="33"/>
  <c r="M66" i="20"/>
  <c r="M66" i="13"/>
  <c r="M66" i="27"/>
  <c r="M66" i="23"/>
  <c r="M66" i="29"/>
  <c r="M66" i="35"/>
  <c r="M66" i="33"/>
  <c r="M66" i="16"/>
  <c r="M134" i="26"/>
  <c r="M134" i="16"/>
  <c r="M117" i="23"/>
  <c r="M117" i="20"/>
  <c r="M117" i="27"/>
  <c r="M117" i="13"/>
  <c r="M117" i="35"/>
  <c r="M117" i="16"/>
  <c r="M117" i="29"/>
  <c r="M117" i="33"/>
  <c r="M109" i="23"/>
  <c r="M109" i="20"/>
  <c r="M109" i="27"/>
  <c r="M109" i="35"/>
  <c r="M109" i="29"/>
  <c r="M109" i="16"/>
  <c r="M109" i="13"/>
  <c r="M109" i="33"/>
  <c r="J7" i="4"/>
  <c r="M7" i="19"/>
  <c r="M7" i="13"/>
  <c r="M7" i="23"/>
  <c r="M7" i="22"/>
  <c r="M7" i="25"/>
  <c r="M7" i="20"/>
  <c r="M7" i="24"/>
  <c r="M7" i="29"/>
  <c r="M7" i="16"/>
  <c r="M7" i="51"/>
  <c r="M7" i="35"/>
  <c r="M7" i="33"/>
  <c r="J22" i="4"/>
  <c r="M22" i="20"/>
  <c r="M22" i="13"/>
  <c r="M22" i="24"/>
  <c r="M22" i="51"/>
  <c r="M22" i="23"/>
  <c r="M22" i="29"/>
  <c r="M22" i="35"/>
  <c r="M22" i="33"/>
  <c r="M22" i="16"/>
  <c r="M28" i="23"/>
  <c r="M28" i="13"/>
  <c r="M28" i="29"/>
  <c r="M28" i="35"/>
  <c r="M28" i="24"/>
  <c r="M28" i="16"/>
  <c r="M28" i="20"/>
  <c r="M28" i="33"/>
  <c r="M135" i="26"/>
  <c r="M135" i="16"/>
  <c r="M85" i="13"/>
  <c r="M85" i="20"/>
  <c r="M85" i="23"/>
  <c r="M85" i="27"/>
  <c r="M85" i="33"/>
  <c r="M85" i="29"/>
  <c r="M85" i="35"/>
  <c r="M85" i="16"/>
  <c r="J9" i="9"/>
  <c r="M33" i="13"/>
  <c r="M33" i="23"/>
  <c r="M33" i="29"/>
  <c r="M33" i="35"/>
  <c r="M33" i="33"/>
  <c r="M33" i="16"/>
  <c r="M37" i="16"/>
  <c r="M37" i="13"/>
  <c r="M32" i="13"/>
  <c r="M32" i="23"/>
  <c r="M32" i="29"/>
  <c r="M32" i="35"/>
  <c r="M32" i="16"/>
  <c r="M32" i="33"/>
  <c r="M36" i="16"/>
  <c r="M64" i="13"/>
  <c r="M64" i="20"/>
  <c r="M64" i="27"/>
  <c r="M64" i="35"/>
  <c r="M64" i="33"/>
  <c r="M64" i="23"/>
  <c r="M64" i="29"/>
  <c r="M64" i="16"/>
  <c r="M87" i="20"/>
  <c r="M87" i="13"/>
  <c r="M87" i="23"/>
  <c r="M87" i="27"/>
  <c r="M87" i="29"/>
  <c r="M87" i="35"/>
  <c r="M87" i="33"/>
  <c r="M87" i="16"/>
  <c r="M94" i="16"/>
  <c r="M94" i="33"/>
  <c r="M73" i="16"/>
  <c r="M73" i="33"/>
  <c r="J35" i="4"/>
  <c r="M35" i="13"/>
  <c r="M35" i="16"/>
  <c r="I69" i="9"/>
  <c r="M132" i="26"/>
  <c r="M132" i="16"/>
  <c r="M132" i="34"/>
  <c r="M12" i="13"/>
  <c r="M12" i="23"/>
  <c r="M12" i="29"/>
  <c r="M12" i="35"/>
  <c r="M12" i="16"/>
  <c r="M12" i="33"/>
  <c r="J34" i="4"/>
  <c r="M34" i="13"/>
  <c r="M34" i="16"/>
  <c r="L21" i="10"/>
  <c r="H53" i="10"/>
  <c r="M133" i="13"/>
  <c r="M133" i="26"/>
  <c r="M133" i="34"/>
  <c r="M133" i="16"/>
  <c r="L31" i="10"/>
  <c r="L22" i="10"/>
  <c r="L12" i="10"/>
  <c r="L10" i="10"/>
  <c r="I66" i="9"/>
  <c r="I64" i="9"/>
  <c r="I67" i="9"/>
  <c r="I60" i="9"/>
  <c r="I56" i="9"/>
  <c r="I53" i="9"/>
  <c r="I31" i="9"/>
  <c r="I50" i="9"/>
  <c r="D66" i="9"/>
  <c r="D45" i="9"/>
  <c r="D50" i="9"/>
  <c r="G17" i="10"/>
  <c r="E37" i="9"/>
  <c r="E41" i="9"/>
  <c r="E35" i="9"/>
  <c r="E36" i="9"/>
  <c r="E44" i="9"/>
  <c r="D31" i="9"/>
  <c r="E43" i="9"/>
  <c r="E40" i="9"/>
  <c r="E42" i="9"/>
  <c r="F17" i="10"/>
  <c r="J17" i="10" s="1"/>
  <c r="E39" i="9"/>
  <c r="E38" i="9"/>
  <c r="B27" i="10"/>
  <c r="J27" i="10" s="1"/>
  <c r="J34" i="9"/>
  <c r="E20" i="9"/>
  <c r="C72" i="9"/>
  <c r="E70" i="9" s="1"/>
  <c r="D70" i="9" s="1"/>
  <c r="E11" i="9"/>
  <c r="J40" i="9"/>
  <c r="E23" i="9"/>
  <c r="J12" i="9"/>
  <c r="E15" i="9"/>
  <c r="G27" i="10"/>
  <c r="H27" i="10" s="1"/>
  <c r="J26" i="9"/>
  <c r="E19" i="9"/>
  <c r="E13" i="9"/>
  <c r="J20" i="9"/>
  <c r="J14" i="9"/>
  <c r="H72" i="9"/>
  <c r="J71" i="9" s="1"/>
  <c r="E29" i="9"/>
  <c r="E22" i="9"/>
  <c r="E17" i="9"/>
  <c r="E18" i="9"/>
  <c r="J10" i="9"/>
  <c r="J18" i="9"/>
  <c r="J30" i="9"/>
  <c r="J13" i="9"/>
  <c r="J11" i="9"/>
  <c r="J15" i="9"/>
  <c r="B72" i="9"/>
  <c r="E25" i="9"/>
  <c r="E9" i="9"/>
  <c r="E14" i="9"/>
  <c r="E10" i="9"/>
  <c r="C17" i="10"/>
  <c r="D17" i="10" s="1"/>
  <c r="J27" i="9"/>
  <c r="C27" i="10"/>
  <c r="J22" i="9"/>
  <c r="J16" i="9"/>
  <c r="J19" i="9"/>
  <c r="J17" i="9"/>
  <c r="J25" i="9"/>
  <c r="E30" i="9"/>
  <c r="E12" i="9"/>
  <c r="E21" i="9"/>
  <c r="E24" i="9"/>
  <c r="E26" i="9"/>
  <c r="E27" i="9"/>
  <c r="E28" i="9"/>
  <c r="J23" i="9"/>
  <c r="J28" i="9"/>
  <c r="J29" i="9"/>
  <c r="J21" i="9"/>
  <c r="J41" i="9"/>
  <c r="J43" i="9"/>
  <c r="J42" i="9"/>
  <c r="G72" i="9"/>
  <c r="J35" i="9"/>
  <c r="J36" i="9"/>
  <c r="J39" i="9"/>
  <c r="I45" i="9"/>
  <c r="J37" i="9"/>
  <c r="J44" i="9"/>
  <c r="J117" i="4"/>
  <c r="J135" i="4"/>
  <c r="J133" i="4"/>
  <c r="J109" i="4"/>
  <c r="J12" i="4"/>
  <c r="J64" i="4"/>
  <c r="J33" i="4"/>
  <c r="J132" i="4"/>
  <c r="J32" i="4"/>
  <c r="J134" i="4"/>
  <c r="J66" i="4"/>
  <c r="J87" i="4"/>
  <c r="J85" i="4"/>
  <c r="J28" i="4"/>
  <c r="K53" i="10"/>
  <c r="K55" i="10"/>
  <c r="L44" i="10"/>
  <c r="L23" i="10"/>
  <c r="H55" i="10"/>
  <c r="L30" i="10"/>
  <c r="G57" i="10"/>
  <c r="L32" i="10"/>
  <c r="H54" i="10"/>
  <c r="L43" i="10"/>
  <c r="K46" i="10"/>
  <c r="H46" i="10"/>
  <c r="L41" i="10"/>
  <c r="L13" i="10"/>
  <c r="L25" i="10"/>
  <c r="H29" i="4"/>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55" i="10" l="1"/>
  <c r="L53" i="10"/>
  <c r="J45" i="9"/>
  <c r="J31" i="9"/>
  <c r="I72" i="9"/>
  <c r="E45" i="9"/>
  <c r="D72" i="9"/>
  <c r="H17" i="10"/>
  <c r="E55" i="9"/>
  <c r="D55" i="9" s="1"/>
  <c r="E61" i="9"/>
  <c r="D61" i="9" s="1"/>
  <c r="E54" i="9"/>
  <c r="D54" i="9" s="1"/>
  <c r="E53" i="9"/>
  <c r="D53" i="9" s="1"/>
  <c r="J56" i="9"/>
  <c r="J55" i="9"/>
  <c r="D27" i="10"/>
  <c r="E57" i="9"/>
  <c r="D57" i="9" s="1"/>
  <c r="E63" i="9"/>
  <c r="D63" i="9" s="1"/>
  <c r="E58" i="9"/>
  <c r="D58" i="9" s="1"/>
  <c r="E64" i="9"/>
  <c r="D64" i="9" s="1"/>
  <c r="K27" i="10"/>
  <c r="L27" i="10" s="1"/>
  <c r="J66" i="9"/>
  <c r="J63" i="9"/>
  <c r="J52" i="9"/>
  <c r="J59" i="9"/>
  <c r="I59" i="9" s="1"/>
  <c r="E59" i="9"/>
  <c r="D59" i="9" s="1"/>
  <c r="E51" i="9"/>
  <c r="D51" i="9" s="1"/>
  <c r="E50" i="9"/>
  <c r="E49" i="9"/>
  <c r="E66" i="9"/>
  <c r="E71" i="9"/>
  <c r="D71" i="9" s="1"/>
  <c r="E68" i="9"/>
  <c r="D68" i="9" s="1"/>
  <c r="E62" i="9"/>
  <c r="D62" i="9" s="1"/>
  <c r="K17" i="10"/>
  <c r="L17" i="10" s="1"/>
  <c r="J62" i="9"/>
  <c r="J51" i="9"/>
  <c r="I51" i="9" s="1"/>
  <c r="J57" i="9"/>
  <c r="I57" i="9" s="1"/>
  <c r="J64" i="9"/>
  <c r="J58" i="9"/>
  <c r="J65" i="9"/>
  <c r="I65" i="9" s="1"/>
  <c r="J53" i="9"/>
  <c r="J60" i="9"/>
  <c r="J70" i="9"/>
  <c r="J50" i="9"/>
  <c r="J61" i="9"/>
  <c r="I61" i="9" s="1"/>
  <c r="J54" i="9"/>
  <c r="J68" i="9"/>
  <c r="I68" i="9" s="1"/>
  <c r="J69" i="9"/>
  <c r="J49" i="9"/>
  <c r="J67" i="9"/>
  <c r="E60" i="9"/>
  <c r="D60" i="9" s="1"/>
  <c r="E65" i="9"/>
  <c r="D65" i="9" s="1"/>
  <c r="E52" i="9"/>
  <c r="D52" i="9" s="1"/>
  <c r="E56" i="9"/>
  <c r="D56" i="9" s="1"/>
  <c r="E67" i="9"/>
  <c r="D67" i="9" s="1"/>
  <c r="E69" i="9"/>
  <c r="D69" i="9" s="1"/>
  <c r="E31" i="9"/>
  <c r="K57" i="10"/>
  <c r="H57" i="10"/>
  <c r="L46" i="10"/>
  <c r="L35" i="10"/>
  <c r="L54" i="10"/>
  <c r="J57" i="10"/>
  <c r="D57" i="10"/>
  <c r="L52" i="10"/>
  <c r="M10" i="9"/>
  <c r="M34" i="9"/>
  <c r="N41" i="9"/>
  <c r="L18" i="9"/>
  <c r="N44" i="9"/>
  <c r="L39" i="9"/>
  <c r="N22" i="9"/>
  <c r="N37" i="9"/>
  <c r="L24" i="9"/>
  <c r="L43" i="9"/>
  <c r="L9" i="9"/>
  <c r="L26" i="9"/>
  <c r="L36" i="9"/>
  <c r="L35" i="9"/>
  <c r="M26" i="9"/>
  <c r="L42" i="9"/>
  <c r="N19" i="9"/>
  <c r="N38" i="9"/>
  <c r="M17" i="9"/>
  <c r="M43" i="9"/>
  <c r="O19" i="9"/>
  <c r="M39" i="9"/>
  <c r="M28" i="9"/>
  <c r="L13" i="9"/>
  <c r="N14" i="9"/>
  <c r="L22" i="9"/>
  <c r="O20" i="9"/>
  <c r="L29" i="9"/>
  <c r="M35" i="9"/>
  <c r="M44" i="9"/>
  <c r="M16" i="9"/>
  <c r="L16" i="9"/>
  <c r="L34" i="9"/>
  <c r="N29" i="9"/>
  <c r="M11" i="9"/>
  <c r="N10" i="9"/>
  <c r="M15" i="9"/>
  <c r="N25" i="9"/>
  <c r="N26" i="9"/>
  <c r="N35" i="9"/>
  <c r="L25" i="9"/>
  <c r="L37" i="9"/>
  <c r="N20" i="9"/>
  <c r="N30" i="9"/>
  <c r="O27" i="9"/>
  <c r="L14" i="9"/>
  <c r="O41" i="9"/>
  <c r="L20" i="9"/>
  <c r="O42" i="9"/>
  <c r="L30" i="9"/>
  <c r="O26" i="9"/>
  <c r="O9" i="9"/>
  <c r="O44" i="9"/>
  <c r="N42" i="9"/>
  <c r="N28" i="9"/>
  <c r="O39" i="9"/>
  <c r="L38" i="9"/>
  <c r="O40" i="9"/>
  <c r="O10" i="9"/>
  <c r="O24" i="9"/>
  <c r="L10" i="9"/>
  <c r="O13" i="9"/>
  <c r="N18" i="9"/>
  <c r="N23" i="9"/>
  <c r="O37" i="9"/>
  <c r="O23" i="9"/>
  <c r="O21" i="9"/>
  <c r="M37" i="9"/>
  <c r="M18" i="9"/>
  <c r="O12" i="9"/>
  <c r="O28" i="9"/>
  <c r="L23" i="9"/>
  <c r="L15" i="9"/>
  <c r="M9" i="9"/>
  <c r="O16" i="9"/>
  <c r="L41" i="9"/>
  <c r="M19" i="9"/>
  <c r="M22" i="9"/>
  <c r="M42" i="9"/>
  <c r="M12" i="9"/>
  <c r="N16" i="9"/>
  <c r="L11" i="9"/>
  <c r="M13" i="9"/>
  <c r="N36" i="9"/>
  <c r="L28" i="9"/>
  <c r="M25" i="9"/>
  <c r="N40" i="9"/>
  <c r="N24" i="9"/>
  <c r="M38" i="9"/>
  <c r="L17" i="9"/>
  <c r="N34" i="9"/>
  <c r="N12" i="9"/>
  <c r="O15" i="9"/>
  <c r="N9" i="9"/>
  <c r="O36" i="9"/>
  <c r="O18" i="9"/>
  <c r="M41" i="9"/>
  <c r="O29" i="9"/>
  <c r="M29" i="9"/>
  <c r="M14" i="9"/>
  <c r="O17" i="9"/>
  <c r="N27" i="9"/>
  <c r="N17" i="9"/>
  <c r="M21" i="9"/>
  <c r="N13" i="9"/>
  <c r="O14" i="9"/>
  <c r="L12" i="9"/>
  <c r="N39" i="9"/>
  <c r="O38" i="9"/>
  <c r="M20" i="9"/>
  <c r="O43" i="9"/>
  <c r="O25" i="9"/>
  <c r="O22" i="9"/>
  <c r="L44" i="9"/>
  <c r="N21" i="9"/>
  <c r="M30" i="9"/>
  <c r="M27" i="9"/>
  <c r="M23" i="9"/>
  <c r="M36" i="9"/>
  <c r="O35" i="9"/>
  <c r="L40" i="9"/>
  <c r="O34" i="9"/>
  <c r="L19" i="9"/>
  <c r="N15" i="9"/>
  <c r="N11" i="9"/>
  <c r="L21" i="9"/>
  <c r="L27" i="9"/>
  <c r="O11" i="9"/>
  <c r="M24" i="9"/>
  <c r="O30" i="9"/>
  <c r="M40" i="9"/>
  <c r="N43" i="9"/>
  <c r="M51" i="9" l="1"/>
  <c r="L45" i="9"/>
  <c r="M59" i="9"/>
  <c r="L56" i="9"/>
  <c r="L54" i="9"/>
  <c r="M63" i="9"/>
  <c r="N70" i="9"/>
  <c r="M56" i="9"/>
  <c r="M68" i="9"/>
  <c r="L66" i="9"/>
  <c r="M65" i="9"/>
  <c r="M71" i="9"/>
  <c r="O56" i="9"/>
  <c r="O71" i="9"/>
  <c r="N61" i="9"/>
  <c r="M49" i="9"/>
  <c r="M31" i="9"/>
  <c r="L70" i="9"/>
  <c r="O68" i="9"/>
  <c r="L69" i="9"/>
  <c r="L55" i="9"/>
  <c r="O60" i="9"/>
  <c r="O62" i="9"/>
  <c r="L63" i="9"/>
  <c r="L62" i="9"/>
  <c r="M64" i="9"/>
  <c r="O65" i="9"/>
  <c r="O69" i="9"/>
  <c r="N54" i="9"/>
  <c r="N71" i="9"/>
  <c r="O52" i="9"/>
  <c r="L53" i="9"/>
  <c r="O51" i="9"/>
  <c r="M60" i="9"/>
  <c r="M58" i="9"/>
  <c r="M69" i="9"/>
  <c r="N60" i="9"/>
  <c r="O61" i="9"/>
  <c r="O59" i="9"/>
  <c r="L68" i="9"/>
  <c r="L52" i="9"/>
  <c r="O63" i="9"/>
  <c r="M53" i="9"/>
  <c r="O54" i="9"/>
  <c r="M57" i="9"/>
  <c r="N53" i="9"/>
  <c r="N63" i="9"/>
  <c r="L51" i="9"/>
  <c r="M61" i="9"/>
  <c r="N58" i="9"/>
  <c r="N59" i="9"/>
  <c r="L61" i="9"/>
  <c r="N57" i="9"/>
  <c r="O53" i="9"/>
  <c r="L67" i="9"/>
  <c r="L65" i="9"/>
  <c r="N68" i="9"/>
  <c r="L50" i="9"/>
  <c r="M67" i="9"/>
  <c r="N56" i="9"/>
  <c r="O57" i="9"/>
  <c r="O64" i="9"/>
  <c r="N51" i="9"/>
  <c r="M54" i="9"/>
  <c r="O50" i="9"/>
  <c r="M70" i="9"/>
  <c r="N55" i="9"/>
  <c r="O70" i="9"/>
  <c r="L49" i="9"/>
  <c r="L31" i="9"/>
  <c r="M52" i="9"/>
  <c r="M66" i="9"/>
  <c r="N67" i="9"/>
  <c r="O58" i="9"/>
  <c r="N69" i="9"/>
  <c r="L64" i="9"/>
  <c r="L59" i="9"/>
  <c r="N31" i="9"/>
  <c r="N49" i="9"/>
  <c r="N62" i="9"/>
  <c r="N65" i="9"/>
  <c r="O55" i="9"/>
  <c r="O49" i="9"/>
  <c r="O31" i="9"/>
  <c r="O45" i="9"/>
  <c r="N52" i="9"/>
  <c r="O67" i="9"/>
  <c r="M62" i="9"/>
  <c r="N45" i="9"/>
  <c r="L71" i="9"/>
  <c r="L58" i="9"/>
  <c r="M55" i="9"/>
  <c r="L57" i="9"/>
  <c r="N66" i="9"/>
  <c r="N50" i="9"/>
  <c r="L60" i="9"/>
  <c r="M45" i="9"/>
  <c r="N64" i="9"/>
  <c r="O66" i="9"/>
  <c r="M50" i="9"/>
  <c r="J72" i="9"/>
  <c r="E72" i="9"/>
  <c r="L57" i="10"/>
  <c r="N72" i="9" l="1"/>
  <c r="M72" i="9"/>
  <c r="O72" i="9"/>
  <c r="L72" i="9"/>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<sst xmlns="http://schemas.openxmlformats.org/spreadsheetml/2006/main" count="5438" uniqueCount="422">
  <si>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</si>
  <si>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</si>
  <si>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</si>
  <si>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</si>
  <si>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</si>
  <si>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</si>
  <si>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</si>
  <si>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</si>
  <si>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</si>
  <si>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</si>
  <si>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</si>
  <si>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</si>
  <si>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</si>
  <si>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</si>
  <si>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</si>
  <si>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</si>
  <si>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</si>
  <si>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</si>
  <si>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</si>
  <si>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</si>
  <si>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</si>
  <si>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</si>
  <si>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</si>
  <si>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t>Livrenter, IPA og IPS er individuelle pensjonsspareavtaler etter skattereglene (kun i årsstatistikken / 4.kvartal).</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</si>
  <si>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</si>
  <si>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</si>
  <si>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</si>
  <si>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</si>
  <si>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</si>
  <si>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</si>
  <si>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</si>
  <si>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</si>
  <si>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</si>
  <si>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</si>
  <si>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</si>
  <si>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</si>
  <si>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</si>
  <si>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</si>
  <si>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</si>
  <si>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</si>
  <si>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</si>
  <si>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</si>
  <si>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</si>
  <si>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</si>
  <si>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</si>
  <si>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</si>
  <si>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</si>
  <si>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</si>
  <si>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</si>
  <si>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</si>
  <si>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</si>
  <si>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</si>
  <si>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</si>
  <si>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</si>
  <si>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</si>
  <si>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</si>
  <si>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</si>
  <si>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</si>
  <si>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</si>
  <si>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</si>
  <si>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</si>
  <si>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</si>
  <si>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</si>
  <si>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</si>
  <si>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</si>
  <si>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</si>
  <si>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</si>
  <si>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</si>
  <si>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</si>
  <si>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</si>
  <si>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</si>
  <si>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</si>
  <si>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</si>
  <si>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</si>
  <si>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</si>
  <si>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</si>
  <si>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</si>
  <si>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</si>
  <si>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</si>
  <si>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</si>
  <si>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</si>
  <si>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</si>
  <si>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</si>
  <si>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</si>
  <si>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</si>
  <si>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</si>
  <si>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</si>
  <si>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</si>
  <si>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</si>
  <si>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</si>
  <si>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</si>
  <si>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</si>
  <si>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</si>
  <si>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</si>
  <si>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</si>
  <si>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</si>
  <si>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</si>
  <si>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</si>
  <si>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</si>
  <si>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</si>
  <si>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</si>
  <si>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</si>
  <si>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</si>
  <si>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</si>
  <si>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</si>
  <si>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</si>
  <si>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</si>
  <si>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</si>
  <si>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</si>
  <si>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</si>
  <si>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</si>
  <si>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</si>
  <si>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</si>
  <si>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</si>
  <si>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</si>
  <si>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</si>
  <si>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</si>
  <si>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</si>
  <si>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</si>
  <si>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</si>
  <si>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</si>
  <si>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</si>
  <si>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</si>
  <si>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</si>
  <si>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</si>
  <si>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</si>
  <si>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</si>
  <si>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</si>
  <si>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</si>
  <si>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</si>
  <si>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</si>
  <si>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</si>
  <si>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</si>
  <si>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</si>
  <si>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</si>
  <si>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</si>
  <si>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</si>
  <si>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</si>
  <si>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</si>
  <si>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</si>
  <si>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</si>
  <si>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</si>
  <si>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</si>
  <si>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</si>
  <si>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</si>
  <si>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Silver Pensjonsforsikring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</si>
  <si>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</si>
  <si>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</si>
  <si>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</si>
  <si>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</si>
  <si>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</si>
  <si>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</si>
  <si>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</si>
  <si>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</si>
  <si>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</si>
  <si>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</si>
  <si>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</si>
  <si>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</si>
  <si>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</si>
  <si>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</si>
  <si>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</si>
  <si>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</si>
  <si>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</si>
  <si>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</si>
  <si>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</si>
  <si>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</si>
  <si>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</si>
  <si>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</si>
  <si>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</si>
  <si>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</si>
  <si>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</si>
  <si>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</si>
  <si>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</si>
  <si>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</si>
  <si>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</si>
  <si>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</si>
  <si>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</si>
  <si>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</si>
  <si>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</si>
  <si>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</si>
  <si>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</si>
  <si>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</si>
  <si>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</si>
  <si>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</si>
  <si>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</si>
  <si>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</si>
  <si>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</si>
  <si>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</si>
  <si>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</si>
  <si>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</si>
  <si>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</si>
  <si>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</si>
  <si>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</si>
  <si>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</si>
  <si>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</si>
  <si>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</si>
  <si>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</si>
  <si>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</si>
  <si>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</si>
  <si>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</si>
  <si>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</si>
  <si>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</si>
  <si>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</si>
  <si>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</si>
  <si>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</si>
  <si>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</si>
  <si>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</si>
  <si>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</si>
  <si>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</si>
  <si>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</si>
  <si>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</si>
  <si>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</si>
  <si>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</si>
  <si>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</si>
  <si>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</si>
  <si>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</si>
  <si>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</si>
  <si>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</si>
  <si>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</si>
  <si>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</si>
  <si>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</si>
  <si>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</si>
  <si>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</si>
  <si>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</si>
  <si>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</si>
  <si>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</si>
  <si>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</si>
  <si>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</si>
  <si>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</si>
  <si>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</si>
  <si>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</si>
  <si>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</si>
  <si>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</si>
  <si>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</si>
  <si>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</si>
  <si>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</si>
  <si>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</si>
  <si>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</si>
  <si>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</si>
  <si>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</si>
  <si>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</si>
  <si>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</si>
  <si>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</si>
  <si>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</si>
  <si>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</si>
  <si>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</si>
  <si>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</si>
  <si>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</si>
  <si>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</si>
  <si>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</si>
  <si>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</si>
  <si>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</si>
  <si>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</si>
  <si>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</si>
  <si>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</si>
  <si>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</si>
  <si>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</si>
  <si>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</si>
  <si>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</si>
  <si>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</si>
  <si>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</si>
  <si>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</si>
  <si>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</si>
  <si>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</si>
  <si>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</si>
  <si>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</si>
  <si>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</si>
  <si>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</si>
  <si>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</si>
  <si>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</si>
  <si>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</si>
  <si>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</si>
  <si>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</si>
  <si>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</si>
  <si>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</si>
  <si>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</si>
  <si>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</si>
  <si>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</si>
  <si>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</si>
  <si>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</si>
  <si>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</si>
  <si>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</si>
  <si>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</si>
  <si>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</si>
  <si>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</si>
  <si>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</si>
  <si>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</si>
  <si>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</si>
  <si>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</si>
  <si>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</si>
  <si>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</si>
  <si>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</si>
  <si>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</si>
  <si>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</si>
  <si>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</si>
  <si>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</si>
  <si>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</si>
  <si>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</si>
  <si>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</si>
  <si>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</si>
  <si>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</si>
  <si>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</si>
  <si>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</si>
  <si>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</si>
  <si>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</si>
  <si>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</si>
  <si>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</si>
  <si>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</si>
  <si>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</si>
  <si>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</si>
  <si>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</si>
  <si>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</si>
  <si>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</si>
  <si>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</si>
  <si>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</si>
  <si>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</si>
  <si>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</si>
  <si>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</si>
  <si>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</si>
  <si>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</si>
  <si>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</si>
  <si>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</si>
  <si>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</si>
  <si>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</si>
  <si>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</si>
  <si>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</si>
  <si>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</si>
  <si>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</si>
  <si>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</si>
  <si>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</si>
  <si>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</si>
  <si>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</si>
  <si>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</si>
  <si>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</si>
  <si>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</si>
  <si>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</si>
  <si>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</si>
  <si>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</si>
  <si>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</si>
  <si>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</si>
  <si>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</si>
  <si>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</si>
  <si>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</si>
  <si>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</si>
  <si>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</si>
  <si>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</si>
  <si>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</si>
  <si>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</si>
  <si>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</si>
  <si>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</si>
  <si>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</si>
  <si>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</si>
  <si>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</si>
  <si>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</si>
  <si>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</si>
  <si>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Avkastningstall (%)</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</si>
  <si>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</si>
  <si>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</si>
  <si>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</si>
  <si>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</si>
  <si>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</si>
  <si>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</si>
  <si>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</si>
  <si>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</si>
  <si>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</si>
  <si>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</si>
  <si>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</si>
  <si>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Kursreguleringsfond</t>
  </si>
  <si>
    <t>Mer/mindre-verdier</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</si>
  <si>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</si>
  <si>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</si>
  <si>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</si>
  <si>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</si>
  <si>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</si>
  <si>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</si>
  <si>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</si>
  <si>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</si>
  <si>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</si>
  <si>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</si>
  <si>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</si>
  <si>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</si>
  <si>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Figur 1  Brutto forfalt premie livprodukter  -  produkter uten investeringsvalg pr. 30.09.</t>
  </si>
  <si>
    <t>Figur 2  Brutto forfalt premie livprodukter  -  produkter med investeringsvalg pr. 30.09.</t>
  </si>
  <si>
    <t>Figur 5  Forsikringsforpliktelser i livsforsikring  -  produkter uten investeringsvalg pr. 30.09.</t>
  </si>
  <si>
    <t>Figur 6  Forsikringsforpliktelser i livsforsikring -  produkter med investeringsvalg pr. 30.09.</t>
  </si>
  <si>
    <t>Figur 7  Netto tilflytting livprodukter  -  produkter uten investeringsvalg pr. 30.09.</t>
  </si>
  <si>
    <t>Figur 8  Netto tilflytting livprodukter  -  produkter med investeringsvalg pr. 30.09.</t>
  </si>
  <si>
    <t>30.9.2016</t>
  </si>
  <si>
    <t>30.9.2017</t>
  </si>
  <si>
    <t>30.09.</t>
  </si>
  <si>
    <t xml:space="preserve">    5.2 Overføring av premieres., tilleggsavsetn. til andre selskap/kasser</t>
  </si>
  <si>
    <t xml:space="preserve">    13.1 Premiereserve mv.</t>
  </si>
  <si>
    <t xml:space="preserve">    13.4 Premiefond, innskuddsfond og pensjonistenes overskuddsfond</t>
  </si>
  <si>
    <t xml:space="preserve">    13.5 Andre tekniske avsetninger for skadeforsikringsvirksomheten</t>
  </si>
  <si>
    <t xml:space="preserve">    14.1 Premiereserve mv.</t>
  </si>
  <si>
    <t xml:space="preserve">    14.2 Erstatningsavsetning</t>
  </si>
  <si>
    <t xml:space="preserve">    14.3 Premiefond, innskuddsfond og pensjonistenes overskuddsfond</t>
  </si>
  <si>
    <r>
      <t xml:space="preserve">  Utenfor LOF/LOI - Livrenter </t>
    </r>
    <r>
      <rPr>
        <vertAlign val="superscript"/>
        <sz val="10"/>
        <rFont val="Times New Roman"/>
        <family val="1"/>
      </rPr>
      <t>14</t>
    </r>
  </si>
  <si>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</si>
  <si>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</si>
  <si>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</si>
  <si>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</si>
  <si>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</si>
  <si>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t>
    </r>
    <r>
      <rPr>
        <vertAlign val="superscript"/>
        <sz val="10"/>
        <rFont val="Times New Roman"/>
        <family val="1"/>
      </rPr>
      <t>10</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</si>
  <si>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</si>
  <si>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</si>
  <si>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</si>
  <si>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</si>
  <si>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</si>
  <si>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</si>
  <si>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</si>
  <si>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</si>
  <si>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</si>
  <si>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</si>
  <si>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Herav pensjonskapitalbevis </t>
    </r>
    <r>
      <rPr>
        <vertAlign val="superscript"/>
        <sz val="10"/>
        <rFont val="Times New Roman"/>
        <family val="1"/>
      </rPr>
      <t>14</t>
    </r>
  </si>
  <si>
    <r>
      <t xml:space="preserve">  Herav pensjonsbevis </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</si>
  <si>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</si>
  <si>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1, 17</t>
    </r>
  </si>
  <si>
    <r>
      <t xml:space="preserve">Forsikringsforpliktelser </t>
    </r>
    <r>
      <rPr>
        <b/>
        <vertAlign val="superscript"/>
        <sz val="10"/>
        <rFont val="Times New Roman"/>
        <family val="1"/>
      </rPr>
      <t>4, 17</t>
    </r>
  </si>
  <si>
    <r>
      <t xml:space="preserve">Overførte reserver fra andre </t>
    </r>
    <r>
      <rPr>
        <b/>
        <vertAlign val="superscript"/>
        <sz val="10"/>
        <rFont val="Times New Roman"/>
        <family val="1"/>
      </rPr>
      <t>5, 17</t>
    </r>
  </si>
  <si>
    <r>
      <t>Overførte reserver til andre</t>
    </r>
    <r>
      <rPr>
        <b/>
        <vertAlign val="superscript"/>
        <sz val="10"/>
        <rFont val="Times New Roman"/>
        <family val="1"/>
      </rPr>
      <t xml:space="preserve"> 6, 17</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</si>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</sst>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 numFmtId="171" formatCode="_ * #,##0.0_ ;_ * \-#,##0.0_ ;_ * &quot;&quot;??_ ;_ @_ "/>
    <numFmt numFmtId="172" formatCode="#,##0.0000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
      <patternFill patternType="solid">
        <fgColor theme="4" tint="0.79995117038483843"/>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8">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0" fontId="14" fillId="0" borderId="0"/>
    <xf numFmtId="170" fontId="15" fillId="0" borderId="7" applyFont="0" applyFill="0" applyBorder="0" applyAlignment="0" applyProtection="0">
      <alignment horizontal="right"/>
    </xf>
    <xf numFmtId="0" fontId="19" fillId="0" borderId="0"/>
  </cellStyleXfs>
  <cellXfs count="717">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0" fontId="17" fillId="0" borderId="3" xfId="1" applyFont="1" applyBorder="1"/>
    <xf numFmtId="164" fontId="17" fillId="3" borderId="6" xfId="1" applyNumberFormat="1" applyFont="1" applyFill="1" applyBorder="1" applyAlignment="1">
      <alignment horizontal="right"/>
    </xf>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4" fontId="55" fillId="7" borderId="3" xfId="844" applyNumberFormat="1" applyFont="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14" fontId="16" fillId="0" borderId="1" xfId="1" applyNumberFormat="1" applyFont="1" applyBorder="1" applyAlignment="1">
      <alignment horizontal="center"/>
    </xf>
    <xf numFmtId="0" fontId="17" fillId="0" borderId="9" xfId="1" applyFont="1" applyFill="1" applyBorder="1"/>
    <xf numFmtId="167" fontId="17" fillId="0" borderId="0" xfId="1" applyNumberFormat="1" applyFont="1" applyFill="1" applyBorder="1" applyAlignment="1">
      <alignment horizontal="center"/>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1"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7" fillId="3" borderId="2"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2" borderId="3" xfId="846" applyFont="1" applyFill="1" applyBorder="1" applyAlignment="1">
      <alignment horizontal="right"/>
    </xf>
    <xf numFmtId="170" fontId="17" fillId="2" borderId="4"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5" fillId="2" borderId="2" xfId="846" applyFont="1" applyFill="1" applyBorder="1" applyAlignment="1">
      <alignment horizontal="right"/>
    </xf>
    <xf numFmtId="170" fontId="15" fillId="2" borderId="0" xfId="846" applyFont="1" applyFill="1" applyBorder="1" applyAlignment="1">
      <alignment horizontal="right"/>
    </xf>
    <xf numFmtId="170" fontId="15" fillId="2" borderId="4" xfId="846" applyFont="1" applyFill="1" applyBorder="1" applyAlignment="1">
      <alignment horizontal="right"/>
    </xf>
    <xf numFmtId="170" fontId="15" fillId="2" borderId="5" xfId="846" applyFont="1" applyFill="1" applyBorder="1" applyAlignment="1">
      <alignment horizontal="right"/>
    </xf>
    <xf numFmtId="170" fontId="15" fillId="2" borderId="11" xfId="846" applyFont="1" applyFill="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67" fillId="0" borderId="2" xfId="846" applyFont="1" applyFill="1" applyBorder="1" applyAlignment="1">
      <alignment horizontal="right"/>
    </xf>
    <xf numFmtId="170" fontId="17" fillId="0" borderId="0" xfId="846" applyFont="1" applyFill="1" applyBorder="1" applyAlignment="1">
      <alignment horizontal="right"/>
    </xf>
    <xf numFmtId="170" fontId="22" fillId="0" borderId="2" xfId="846" applyFont="1" applyFill="1" applyBorder="1" applyAlignment="1">
      <alignment horizontal="right"/>
    </xf>
    <xf numFmtId="170" fontId="22" fillId="0" borderId="0" xfId="846" applyFont="1" applyFill="1" applyBorder="1" applyAlignment="1">
      <alignment horizontal="right"/>
    </xf>
    <xf numFmtId="170" fontId="18" fillId="2" borderId="2" xfId="846" applyFont="1" applyFill="1" applyBorder="1" applyAlignment="1">
      <alignment horizontal="right"/>
    </xf>
    <xf numFmtId="170" fontId="18" fillId="2" borderId="0" xfId="846" applyFont="1" applyFill="1" applyBorder="1" applyAlignment="1">
      <alignment horizontal="right"/>
    </xf>
    <xf numFmtId="170" fontId="17" fillId="2" borderId="2" xfId="846" applyFont="1" applyFill="1" applyBorder="1" applyAlignment="1">
      <alignment horizontal="right"/>
    </xf>
    <xf numFmtId="170" fontId="17" fillId="2" borderId="0" xfId="846" applyFont="1" applyFill="1" applyBorder="1" applyAlignment="1">
      <alignment horizontal="right"/>
    </xf>
    <xf numFmtId="170" fontId="15" fillId="0" borderId="0" xfId="846" applyFont="1" applyFill="1" applyBorder="1" applyAlignment="1">
      <alignment horizontal="right"/>
    </xf>
    <xf numFmtId="170" fontId="17" fillId="3" borderId="5" xfId="846" applyFont="1" applyFill="1" applyBorder="1" applyAlignment="1">
      <alignment horizontal="right"/>
    </xf>
    <xf numFmtId="170" fontId="17" fillId="3" borderId="0" xfId="846" applyFont="1" applyFill="1" applyBorder="1" applyAlignment="1">
      <alignment horizontal="right"/>
    </xf>
    <xf numFmtId="170" fontId="17" fillId="3" borderId="1" xfId="846" applyFont="1" applyFill="1" applyBorder="1" applyAlignment="1">
      <alignment horizontal="right"/>
    </xf>
    <xf numFmtId="170" fontId="17" fillId="3" borderId="4" xfId="846" applyFont="1" applyFill="1" applyBorder="1" applyAlignment="1">
      <alignment horizontal="right"/>
    </xf>
    <xf numFmtId="170"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4" fontId="30" fillId="0" borderId="3" xfId="0" applyNumberFormat="1" applyFont="1" applyBorder="1"/>
    <xf numFmtId="164" fontId="45" fillId="0" borderId="3" xfId="0" applyNumberFormat="1" applyFont="1" applyBorder="1"/>
    <xf numFmtId="164" fontId="30" fillId="0" borderId="3" xfId="0" applyNumberFormat="1" applyFont="1" applyFill="1" applyBorder="1"/>
    <xf numFmtId="164" fontId="45" fillId="0" borderId="6" xfId="0" applyNumberFormat="1" applyFont="1" applyBorder="1"/>
    <xf numFmtId="171" fontId="17" fillId="3" borderId="2" xfId="846" applyNumberFormat="1" applyFont="1" applyFill="1" applyBorder="1" applyAlignment="1">
      <alignment horizontal="right"/>
    </xf>
    <xf numFmtId="171" fontId="17" fillId="3" borderId="3" xfId="846" applyNumberFormat="1" applyFont="1" applyFill="1" applyBorder="1" applyAlignment="1">
      <alignment horizontal="right"/>
    </xf>
    <xf numFmtId="171" fontId="17" fillId="3" borderId="6" xfId="846" applyNumberFormat="1" applyFont="1" applyFill="1" applyBorder="1" applyAlignment="1">
      <alignment horizontal="right"/>
    </xf>
    <xf numFmtId="164" fontId="15" fillId="0" borderId="6" xfId="1" applyNumberFormat="1" applyFont="1" applyBorder="1" applyAlignment="1">
      <alignment horizontal="center"/>
    </xf>
    <xf numFmtId="164" fontId="17" fillId="3" borderId="0" xfId="1" applyNumberFormat="1" applyFont="1" applyFill="1" applyBorder="1" applyAlignment="1">
      <alignment horizontal="right"/>
    </xf>
    <xf numFmtId="164"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0" fontId="15" fillId="3" borderId="7" xfId="846" applyFont="1" applyFill="1" applyBorder="1" applyAlignment="1">
      <alignment horizontal="right"/>
    </xf>
    <xf numFmtId="171" fontId="15" fillId="3" borderId="2" xfId="846" applyNumberFormat="1" applyFont="1" applyFill="1" applyBorder="1" applyAlignment="1">
      <alignment horizontal="right"/>
    </xf>
    <xf numFmtId="3" fontId="15" fillId="0" borderId="0" xfId="1" applyNumberFormat="1" applyFont="1" applyFill="1"/>
    <xf numFmtId="167" fontId="15" fillId="3" borderId="7" xfId="1" applyNumberFormat="1" applyFont="1" applyFill="1" applyBorder="1" applyAlignment="1">
      <alignment horizontal="right"/>
    </xf>
    <xf numFmtId="167" fontId="15" fillId="3" borderId="3" xfId="1" applyNumberFormat="1" applyFont="1" applyFill="1" applyBorder="1" applyAlignment="1">
      <alignment horizontal="right"/>
    </xf>
    <xf numFmtId="167"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4" fontId="15" fillId="3" borderId="0" xfId="1" applyNumberFormat="1" applyFont="1" applyFill="1" applyBorder="1" applyAlignment="1">
      <alignment horizontal="right"/>
    </xf>
    <xf numFmtId="3" fontId="15" fillId="0" borderId="11" xfId="1" applyNumberFormat="1" applyFont="1" applyFill="1" applyBorder="1"/>
    <xf numFmtId="3" fontId="0" fillId="0" borderId="0" xfId="0" applyNumberFormat="1" applyFill="1"/>
    <xf numFmtId="3" fontId="17" fillId="0" borderId="8" xfId="1" applyNumberFormat="1" applyFont="1" applyFill="1" applyBorder="1"/>
    <xf numFmtId="3" fontId="15" fillId="0" borderId="6" xfId="1" applyNumberFormat="1" applyFont="1" applyFill="1" applyBorder="1"/>
    <xf numFmtId="3" fontId="15" fillId="0" borderId="9" xfId="1" applyNumberFormat="1" applyFont="1" applyBorder="1" applyAlignment="1"/>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0" fontId="0" fillId="0" borderId="0" xfId="0" applyProtection="1">
      <protection locked="0"/>
    </xf>
    <xf numFmtId="0" fontId="19" fillId="0" borderId="0" xfId="0" applyFont="1" applyProtection="1">
      <protection locked="0"/>
    </xf>
    <xf numFmtId="3" fontId="45" fillId="4" borderId="0" xfId="0" applyNumberFormat="1" applyFont="1" applyFill="1" applyProtection="1">
      <protection locked="0"/>
    </xf>
    <xf numFmtId="3" fontId="15" fillId="4" borderId="0" xfId="0" applyNumberFormat="1" applyFont="1" applyFill="1" applyProtection="1">
      <protection locked="0"/>
    </xf>
    <xf numFmtId="0" fontId="19" fillId="0" borderId="0" xfId="0" applyFon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Alignment="1" applyProtection="1">
      <alignment horizontal="center"/>
      <protection locked="0"/>
    </xf>
    <xf numFmtId="3" fontId="13" fillId="0" borderId="9" xfId="0" quotePrefix="1" applyNumberFormat="1" applyFont="1" applyFill="1" applyBorder="1" applyAlignment="1" applyProtection="1">
      <alignment horizontal="center"/>
      <protection locked="0"/>
    </xf>
    <xf numFmtId="3" fontId="13" fillId="0" borderId="10" xfId="0" quotePrefix="1" applyNumberFormat="1" applyFont="1" applyFill="1" applyBorder="1" applyAlignment="1" applyProtection="1">
      <alignment horizontal="center"/>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0" fontId="17" fillId="4" borderId="10" xfId="0" applyFont="1" applyFill="1" applyBorder="1" applyProtection="1">
      <protection locked="0"/>
    </xf>
    <xf numFmtId="0" fontId="17" fillId="4" borderId="8" xfId="0" applyFont="1" applyFill="1" applyBorder="1" applyProtection="1">
      <protection locked="0"/>
    </xf>
    <xf numFmtId="0" fontId="17" fillId="4" borderId="9" xfId="0" applyFont="1" applyFill="1" applyBorder="1" applyProtection="1">
      <protection locked="0"/>
    </xf>
    <xf numFmtId="0" fontId="19" fillId="0" borderId="9" xfId="0" applyFont="1" applyBorder="1" applyProtection="1">
      <protection locked="0"/>
    </xf>
    <xf numFmtId="3" fontId="45" fillId="0" borderId="1" xfId="0" applyNumberFormat="1"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3" fontId="50" fillId="4" borderId="6" xfId="0" applyNumberFormat="1" applyFont="1" applyFill="1" applyBorder="1" applyProtection="1">
      <protection locked="0"/>
    </xf>
    <xf numFmtId="0" fontId="13" fillId="0" borderId="11" xfId="0" applyFont="1" applyBorder="1" applyAlignment="1" applyProtection="1">
      <alignment horizontal="center"/>
      <protection locked="0"/>
    </xf>
    <xf numFmtId="168" fontId="15" fillId="0" borderId="6" xfId="0" applyNumberFormat="1" applyFont="1" applyFill="1" applyBorder="1" applyAlignment="1" applyProtection="1">
      <alignment horizontal="center"/>
      <protection locked="0"/>
    </xf>
    <xf numFmtId="3" fontId="30" fillId="4" borderId="1" xfId="0" applyNumberFormat="1" applyFont="1" applyFill="1" applyBorder="1" applyAlignment="1" applyProtection="1">
      <alignment horizontal="right"/>
    </xf>
    <xf numFmtId="3" fontId="30" fillId="4" borderId="1" xfId="0"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xf>
    <xf numFmtId="3" fontId="30" fillId="4" borderId="1" xfId="15" applyNumberFormat="1" applyFont="1" applyFill="1" applyBorder="1" applyAlignment="1" applyProtection="1">
      <alignment horizontal="right"/>
    </xf>
    <xf numFmtId="3" fontId="30" fillId="4" borderId="1" xfId="14" applyNumberFormat="1" applyFont="1" applyFill="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0" fontId="30" fillId="4" borderId="7" xfId="0" applyFont="1" applyFill="1" applyBorder="1" applyAlignment="1" applyProtection="1">
      <alignment horizontal="right"/>
    </xf>
    <xf numFmtId="0" fontId="30" fillId="0" borderId="4" xfId="0" applyFont="1" applyFill="1" applyBorder="1" applyProtection="1">
      <protection locked="0"/>
    </xf>
    <xf numFmtId="3" fontId="30" fillId="4" borderId="4" xfId="0" applyNumberFormat="1" applyFont="1" applyFill="1" applyBorder="1" applyAlignment="1" applyProtection="1">
      <alignment horizontal="right"/>
    </xf>
    <xf numFmtId="3" fontId="30" fillId="4" borderId="4" xfId="0" applyNumberFormat="1" applyFont="1" applyFill="1" applyBorder="1" applyAlignment="1" applyProtection="1">
      <alignment horizontal="right"/>
      <protection locked="0"/>
    </xf>
    <xf numFmtId="3" fontId="30" fillId="4" borderId="3" xfId="0" applyNumberFormat="1" applyFont="1" applyFill="1" applyBorder="1" applyAlignment="1" applyProtection="1">
      <alignment horizontal="right"/>
    </xf>
    <xf numFmtId="3" fontId="30" fillId="4" borderId="4" xfId="15" applyNumberFormat="1" applyFont="1" applyFill="1" applyBorder="1" applyAlignment="1" applyProtection="1">
      <alignment horizontal="right"/>
    </xf>
    <xf numFmtId="3" fontId="30" fillId="4" borderId="4" xfId="14" applyNumberFormat="1" applyFont="1" applyFill="1" applyBorder="1" applyAlignment="1" applyProtection="1">
      <alignment horizontal="right"/>
      <protection locked="0"/>
    </xf>
    <xf numFmtId="0" fontId="30" fillId="4" borderId="3" xfId="0"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11" borderId="3" xfId="0" applyNumberFormat="1" applyFont="1" applyFill="1" applyBorder="1" applyAlignment="1" applyProtection="1">
      <alignment horizontal="right"/>
    </xf>
    <xf numFmtId="3" fontId="30" fillId="4" borderId="0" xfId="0" applyNumberFormat="1" applyFont="1" applyFill="1" applyBorder="1" applyAlignment="1" applyProtection="1">
      <alignment horizontal="right"/>
      <protection locked="0"/>
    </xf>
    <xf numFmtId="3" fontId="19" fillId="0" borderId="0" xfId="0" applyNumberFormat="1" applyFont="1" applyProtection="1">
      <protection locked="0"/>
    </xf>
    <xf numFmtId="3" fontId="30" fillId="0" borderId="3" xfId="0" applyNumberFormat="1" applyFont="1" applyBorder="1" applyAlignment="1" applyProtection="1">
      <alignment horizontal="right"/>
    </xf>
    <xf numFmtId="3" fontId="30" fillId="0" borderId="3" xfId="0" applyNumberFormat="1" applyFont="1" applyBorder="1" applyAlignment="1" applyProtection="1">
      <alignment horizontal="right"/>
      <protection locked="0"/>
    </xf>
    <xf numFmtId="1" fontId="30" fillId="0" borderId="3" xfId="0" applyNumberFormat="1" applyFont="1" applyBorder="1" applyAlignment="1" applyProtection="1">
      <alignment horizontal="right"/>
    </xf>
    <xf numFmtId="1" fontId="30" fillId="0" borderId="3" xfId="0" applyNumberFormat="1" applyFont="1" applyBorder="1" applyAlignment="1" applyProtection="1">
      <alignment horizontal="right"/>
      <protection locked="0"/>
    </xf>
    <xf numFmtId="0" fontId="30" fillId="0" borderId="3" xfId="0" applyFont="1" applyBorder="1" applyAlignment="1" applyProtection="1">
      <alignment horizontal="right"/>
    </xf>
    <xf numFmtId="0" fontId="30" fillId="0" borderId="3" xfId="0" applyFont="1" applyBorder="1" applyAlignment="1" applyProtection="1">
      <alignment horizontal="right"/>
      <protection locked="0"/>
    </xf>
    <xf numFmtId="165" fontId="30" fillId="0" borderId="3" xfId="2" applyNumberFormat="1" applyFont="1" applyBorder="1" applyAlignment="1" applyProtection="1">
      <alignment horizontal="right"/>
    </xf>
    <xf numFmtId="165" fontId="30" fillId="0" borderId="3" xfId="2" applyNumberFormat="1" applyFont="1" applyBorder="1" applyAlignment="1" applyProtection="1">
      <alignment horizontal="right"/>
      <protection locked="0"/>
    </xf>
    <xf numFmtId="3" fontId="30" fillId="10" borderId="3" xfId="0" applyNumberFormat="1" applyFont="1" applyFill="1" applyBorder="1" applyAlignment="1" applyProtection="1">
      <alignment horizontal="right"/>
    </xf>
    <xf numFmtId="169" fontId="30" fillId="0" borderId="3" xfId="2" applyNumberFormat="1" applyFont="1" applyBorder="1" applyAlignment="1" applyProtection="1">
      <alignment horizontal="right"/>
    </xf>
    <xf numFmtId="169" fontId="30" fillId="0" borderId="3" xfId="2" applyNumberFormat="1" applyFont="1" applyBorder="1" applyAlignment="1" applyProtection="1">
      <alignment horizontal="right"/>
      <protection locked="0"/>
    </xf>
    <xf numFmtId="0" fontId="30" fillId="0" borderId="3" xfId="0" applyFont="1" applyFill="1" applyBorder="1" applyAlignment="1" applyProtection="1">
      <alignment horizontal="right"/>
    </xf>
    <xf numFmtId="165" fontId="30" fillId="4" borderId="4" xfId="2" applyNumberFormat="1" applyFont="1" applyFill="1" applyBorder="1" applyAlignment="1" applyProtection="1">
      <alignment horizontal="right"/>
    </xf>
    <xf numFmtId="165" fontId="30" fillId="4" borderId="4" xfId="2" applyNumberFormat="1" applyFont="1" applyFill="1" applyBorder="1" applyAlignment="1" applyProtection="1">
      <alignment horizontal="right"/>
      <protection locked="0"/>
    </xf>
    <xf numFmtId="165" fontId="30" fillId="4" borderId="3" xfId="2" applyNumberFormat="1" applyFont="1" applyFill="1" applyBorder="1" applyAlignment="1" applyProtection="1">
      <alignment horizontal="right"/>
    </xf>
    <xf numFmtId="165" fontId="30" fillId="4" borderId="3" xfId="2"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0" fontId="19" fillId="0" borderId="0" xfId="0" applyFont="1" applyFill="1" applyProtection="1">
      <protection locked="0"/>
    </xf>
    <xf numFmtId="0" fontId="45" fillId="0" borderId="11" xfId="0" applyFont="1" applyFill="1" applyBorder="1" applyProtection="1">
      <protection locked="0"/>
    </xf>
    <xf numFmtId="3" fontId="45" fillId="0" borderId="6" xfId="0" applyNumberFormat="1" applyFont="1" applyFill="1" applyBorder="1" applyAlignment="1" applyProtection="1">
      <alignment horizontal="right"/>
      <protection locked="0"/>
    </xf>
    <xf numFmtId="3" fontId="45" fillId="4" borderId="6"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xf>
    <xf numFmtId="0" fontId="49" fillId="0" borderId="0" xfId="0" applyFont="1" applyProtection="1">
      <protection locked="0"/>
    </xf>
    <xf numFmtId="0" fontId="45" fillId="0" borderId="4" xfId="0" applyFont="1" applyFill="1" applyBorder="1" applyProtection="1">
      <protection locked="0"/>
    </xf>
    <xf numFmtId="3" fontId="45" fillId="4" borderId="4" xfId="14" applyNumberFormat="1" applyFont="1" applyFill="1" applyBorder="1" applyAlignment="1" applyProtection="1">
      <alignment horizontal="right"/>
    </xf>
    <xf numFmtId="3" fontId="45" fillId="4" borderId="4" xfId="14"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xf>
    <xf numFmtId="3" fontId="45" fillId="4" borderId="4" xfId="15" applyNumberFormat="1" applyFont="1" applyFill="1" applyBorder="1" applyAlignment="1" applyProtection="1">
      <alignment horizontal="right"/>
    </xf>
    <xf numFmtId="3" fontId="45" fillId="4" borderId="7" xfId="0" applyNumberFormat="1" applyFont="1" applyFill="1" applyBorder="1" applyAlignment="1" applyProtection="1">
      <alignment horizontal="right"/>
    </xf>
    <xf numFmtId="0" fontId="45" fillId="4" borderId="7" xfId="0" applyFont="1" applyFill="1" applyBorder="1" applyAlignment="1" applyProtection="1">
      <alignment horizontal="right"/>
    </xf>
    <xf numFmtId="0" fontId="45" fillId="4" borderId="15" xfId="0" applyFont="1" applyFill="1" applyBorder="1" applyAlignment="1" applyProtection="1">
      <alignment horizontal="right"/>
    </xf>
    <xf numFmtId="0" fontId="49" fillId="0" borderId="7" xfId="0" applyFont="1" applyBorder="1" applyAlignment="1" applyProtection="1">
      <alignment horizontal="right"/>
    </xf>
    <xf numFmtId="0" fontId="45" fillId="4" borderId="3" xfId="0" applyFont="1" applyFill="1" applyBorder="1" applyAlignment="1" applyProtection="1">
      <alignment horizontal="right"/>
    </xf>
    <xf numFmtId="0" fontId="45" fillId="4" borderId="2" xfId="0" applyFont="1" applyFill="1" applyBorder="1" applyAlignment="1" applyProtection="1">
      <alignment horizontal="right"/>
    </xf>
    <xf numFmtId="0" fontId="49" fillId="0" borderId="3" xfId="0" applyFont="1" applyBorder="1" applyAlignment="1" applyProtection="1">
      <alignment horizontal="right"/>
    </xf>
    <xf numFmtId="3" fontId="30" fillId="4" borderId="4" xfId="14"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0" fontId="30" fillId="4" borderId="2" xfId="0" applyFont="1" applyFill="1" applyBorder="1" applyAlignment="1" applyProtection="1">
      <alignment horizontal="right"/>
    </xf>
    <xf numFmtId="0" fontId="30" fillId="0" borderId="0" xfId="0" applyFont="1" applyProtection="1">
      <protection locked="0"/>
    </xf>
    <xf numFmtId="3" fontId="30" fillId="4" borderId="2" xfId="0" applyNumberFormat="1" applyFont="1" applyFill="1" applyBorder="1" applyAlignment="1" applyProtection="1">
      <alignment horizontal="right"/>
    </xf>
    <xf numFmtId="3" fontId="45" fillId="4" borderId="2" xfId="0" applyNumberFormat="1" applyFont="1" applyFill="1" applyBorder="1" applyAlignment="1" applyProtection="1">
      <alignment horizontal="right"/>
    </xf>
    <xf numFmtId="0" fontId="45" fillId="0" borderId="0" xfId="0" applyFont="1" applyProtection="1">
      <protection locked="0"/>
    </xf>
    <xf numFmtId="3" fontId="45" fillId="4" borderId="11" xfId="14" applyNumberFormat="1" applyFont="1" applyFill="1" applyBorder="1" applyAlignment="1" applyProtection="1">
      <alignment horizontal="right"/>
    </xf>
    <xf numFmtId="3" fontId="45" fillId="4" borderId="11" xfId="14" applyNumberFormat="1" applyFont="1" applyFill="1" applyBorder="1" applyAlignment="1" applyProtection="1">
      <alignment horizontal="right"/>
      <protection locked="0"/>
    </xf>
    <xf numFmtId="3" fontId="45" fillId="4" borderId="11" xfId="15" applyNumberFormat="1" applyFont="1" applyFill="1" applyBorder="1" applyAlignment="1" applyProtection="1">
      <alignment horizontal="right"/>
    </xf>
    <xf numFmtId="0" fontId="45" fillId="4" borderId="6" xfId="0" applyFont="1" applyFill="1" applyBorder="1" applyAlignment="1" applyProtection="1">
      <alignment horizontal="right"/>
    </xf>
    <xf numFmtId="0" fontId="45" fillId="4" borderId="5" xfId="0" applyFont="1" applyFill="1" applyBorder="1" applyAlignment="1" applyProtection="1">
      <alignment horizontal="right"/>
    </xf>
    <xf numFmtId="0" fontId="45" fillId="0" borderId="6" xfId="0" applyFont="1" applyBorder="1" applyAlignment="1" applyProtection="1">
      <alignment horizontal="right"/>
    </xf>
    <xf numFmtId="0" fontId="45" fillId="0" borderId="7" xfId="0" applyFont="1" applyFill="1" applyBorder="1" applyProtection="1">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45" fillId="4" borderId="1" xfId="0" applyNumberFormat="1" applyFont="1" applyFill="1" applyBorder="1" applyAlignment="1" applyProtection="1">
      <alignment horizontal="right"/>
    </xf>
    <xf numFmtId="0" fontId="45" fillId="4" borderId="1" xfId="0" applyFont="1" applyFill="1" applyBorder="1" applyAlignment="1" applyProtection="1">
      <alignment horizontal="right"/>
    </xf>
    <xf numFmtId="0" fontId="45" fillId="0" borderId="7" xfId="0" applyFont="1" applyBorder="1" applyAlignment="1" applyProtection="1">
      <alignment horizontal="right"/>
    </xf>
    <xf numFmtId="0" fontId="45" fillId="0" borderId="3" xfId="0" applyFont="1" applyFill="1" applyBorder="1" applyProtection="1">
      <protection locked="0"/>
    </xf>
    <xf numFmtId="0" fontId="30" fillId="0" borderId="3" xfId="0" applyFont="1" applyFill="1" applyBorder="1" applyProtection="1"/>
    <xf numFmtId="0" fontId="30" fillId="0" borderId="3" xfId="0" applyFont="1" applyFill="1" applyBorder="1" applyProtection="1">
      <protection locked="0"/>
    </xf>
    <xf numFmtId="3" fontId="45" fillId="0" borderId="4" xfId="14" applyNumberFormat="1" applyFont="1" applyFill="1" applyBorder="1" applyAlignment="1" applyProtection="1">
      <alignment horizontal="right"/>
    </xf>
    <xf numFmtId="3" fontId="30" fillId="0" borderId="3" xfId="0" applyNumberFormat="1" applyFont="1" applyFill="1" applyBorder="1" applyProtection="1"/>
    <xf numFmtId="0" fontId="45" fillId="0" borderId="0" xfId="0" applyFont="1" applyFill="1" applyProtection="1">
      <protection locked="0"/>
    </xf>
    <xf numFmtId="0" fontId="30" fillId="2" borderId="3" xfId="0" applyFont="1" applyFill="1" applyBorder="1" applyProtection="1">
      <protection locked="0"/>
    </xf>
    <xf numFmtId="0" fontId="30" fillId="2" borderId="3" xfId="0" applyFont="1" applyFill="1" applyBorder="1" applyProtection="1"/>
    <xf numFmtId="3" fontId="30" fillId="2" borderId="4" xfId="14" applyNumberFormat="1" applyFont="1" applyFill="1" applyBorder="1" applyAlignment="1" applyProtection="1">
      <alignment horizontal="right"/>
    </xf>
    <xf numFmtId="3" fontId="30" fillId="2" borderId="3" xfId="0" applyNumberFormat="1" applyFont="1" applyFill="1" applyBorder="1" applyProtection="1"/>
    <xf numFmtId="0" fontId="30" fillId="0" borderId="0" xfId="0" applyFont="1" applyFill="1" applyProtection="1">
      <protection locked="0"/>
    </xf>
    <xf numFmtId="1" fontId="30" fillId="2" borderId="3" xfId="0" applyNumberFormat="1" applyFont="1" applyFill="1" applyBorder="1" applyProtection="1"/>
    <xf numFmtId="0" fontId="45" fillId="2" borderId="6" xfId="0" applyFont="1" applyFill="1" applyBorder="1" applyProtection="1">
      <protection locked="0"/>
    </xf>
    <xf numFmtId="1" fontId="30" fillId="2" borderId="6" xfId="0" applyNumberFormat="1" applyFont="1" applyFill="1" applyBorder="1" applyProtection="1"/>
    <xf numFmtId="0" fontId="30" fillId="2" borderId="6" xfId="0" applyFont="1" applyFill="1" applyBorder="1" applyProtection="1">
      <protection locked="0"/>
    </xf>
    <xf numFmtId="0" fontId="30" fillId="2" borderId="6" xfId="0" applyFont="1" applyFill="1" applyBorder="1" applyProtection="1"/>
    <xf numFmtId="3" fontId="45" fillId="2" borderId="11" xfId="14" applyNumberFormat="1" applyFont="1" applyFill="1" applyBorder="1" applyAlignment="1" applyProtection="1">
      <alignment horizontal="right"/>
    </xf>
    <xf numFmtId="3" fontId="30" fillId="2" borderId="6" xfId="0" applyNumberFormat="1" applyFont="1" applyFill="1" applyBorder="1" applyProtection="1"/>
    <xf numFmtId="0" fontId="61" fillId="0" borderId="0" xfId="0" applyFont="1" applyBorder="1" applyProtection="1">
      <protection locked="0"/>
    </xf>
    <xf numFmtId="0" fontId="61" fillId="0" borderId="0" xfId="0" applyFont="1" applyProtection="1">
      <protection locked="0"/>
    </xf>
    <xf numFmtId="0" fontId="70" fillId="0" borderId="0" xfId="0" applyFont="1" applyProtection="1">
      <protection locked="0"/>
    </xf>
    <xf numFmtId="0" fontId="70" fillId="0" borderId="0" xfId="0" applyFont="1" applyBorder="1" applyProtection="1">
      <protection locked="0"/>
    </xf>
    <xf numFmtId="0" fontId="0" fillId="0" borderId="0" xfId="0" applyBorder="1" applyProtection="1">
      <protection locked="0"/>
    </xf>
    <xf numFmtId="172" fontId="70" fillId="0" borderId="0" xfId="0" applyNumberFormat="1" applyFont="1" applyProtection="1">
      <protection locked="0"/>
    </xf>
    <xf numFmtId="4" fontId="70" fillId="0" borderId="0" xfId="0" applyNumberFormat="1" applyFont="1" applyProtection="1">
      <protection locked="0"/>
    </xf>
    <xf numFmtId="3" fontId="30" fillId="0" borderId="4" xfId="14" applyNumberFormat="1" applyFont="1" applyFill="1" applyBorder="1" applyAlignment="1" applyProtection="1">
      <alignment horizontal="right"/>
    </xf>
    <xf numFmtId="164"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4" fontId="0" fillId="0" borderId="0" xfId="0" applyNumberFormat="1" applyBorder="1" applyProtection="1">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164" fontId="17" fillId="4" borderId="0" xfId="0" applyNumberFormat="1" applyFont="1" applyFill="1" applyBorder="1" applyProtection="1">
      <protection locked="0"/>
    </xf>
    <xf numFmtId="0" fontId="17" fillId="4" borderId="0" xfId="0" applyFont="1" applyFill="1" applyBorder="1" applyProtection="1">
      <protection locked="0"/>
    </xf>
    <xf numFmtId="0" fontId="45" fillId="4" borderId="0" xfId="0" applyNumberFormat="1" applyFont="1" applyFill="1" applyBorder="1" applyAlignment="1" applyProtection="1">
      <alignment horizontal="center"/>
      <protection locked="0"/>
    </xf>
    <xf numFmtId="0" fontId="15" fillId="0" borderId="1" xfId="0" applyNumberFormat="1" applyFont="1" applyFill="1" applyBorder="1" applyAlignment="1" applyProtection="1">
      <alignment horizontal="center"/>
      <protection locked="0"/>
    </xf>
    <xf numFmtId="3" fontId="50" fillId="4" borderId="11" xfId="0" applyNumberFormat="1" applyFont="1" applyFill="1" applyBorder="1" applyProtection="1">
      <protection locked="0"/>
    </xf>
    <xf numFmtId="0" fontId="13" fillId="0" borderId="6" xfId="0" applyFont="1" applyFill="1" applyBorder="1" applyAlignment="1" applyProtection="1">
      <alignment horizontal="center"/>
      <protection locked="0"/>
    </xf>
    <xf numFmtId="168"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2" applyNumberFormat="1" applyFont="1" applyFill="1" applyBorder="1" applyAlignment="1" applyProtection="1">
      <alignment horizontal="right"/>
    </xf>
    <xf numFmtId="3" fontId="30" fillId="4" borderId="4" xfId="2" applyNumberFormat="1" applyFont="1" applyFill="1" applyBorder="1" applyAlignment="1" applyProtection="1">
      <alignment horizontal="right"/>
      <protection locked="0"/>
    </xf>
    <xf numFmtId="3" fontId="45" fillId="4" borderId="3" xfId="0" applyNumberFormat="1" applyFont="1" applyFill="1" applyBorder="1" applyAlignment="1" applyProtection="1">
      <alignment horizontal="right"/>
      <protection locked="0"/>
    </xf>
    <xf numFmtId="3" fontId="45" fillId="4" borderId="4" xfId="0" applyNumberFormat="1" applyFont="1" applyFill="1" applyBorder="1" applyProtection="1">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2" applyNumberFormat="1" applyFont="1" applyFill="1" applyBorder="1" applyAlignment="1" applyProtection="1">
      <alignment horizontal="right"/>
    </xf>
    <xf numFmtId="3" fontId="30" fillId="0" borderId="4" xfId="2" applyNumberFormat="1" applyFont="1" applyFill="1" applyBorder="1" applyAlignment="1" applyProtection="1">
      <alignment horizontal="right"/>
      <protection locked="0"/>
    </xf>
    <xf numFmtId="0" fontId="19" fillId="0" borderId="0" xfId="0" applyFont="1" applyFill="1" applyBorder="1" applyProtection="1">
      <protection locked="0"/>
    </xf>
    <xf numFmtId="3" fontId="30" fillId="0" borderId="3" xfId="845" applyNumberFormat="1" applyFont="1" applyFill="1" applyBorder="1" applyAlignment="1" applyProtection="1">
      <alignment horizontal="right"/>
      <protection locked="0"/>
    </xf>
    <xf numFmtId="3" fontId="19" fillId="0" borderId="0" xfId="0" applyNumberFormat="1" applyFont="1" applyFill="1" applyProtection="1">
      <protection locked="0"/>
    </xf>
    <xf numFmtId="3" fontId="30" fillId="4" borderId="3" xfId="845"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3" xfId="845" applyNumberFormat="1" applyFont="1" applyFill="1" applyBorder="1" applyAlignment="1" applyProtection="1">
      <alignment horizontal="right"/>
      <protection locked="0"/>
    </xf>
    <xf numFmtId="0" fontId="49" fillId="0" borderId="0" xfId="0" applyFont="1" applyBorder="1" applyProtection="1">
      <protection locked="0"/>
    </xf>
    <xf numFmtId="3" fontId="49" fillId="0" borderId="0" xfId="0" applyNumberFormat="1" applyFont="1" applyProtection="1">
      <protection locked="0"/>
    </xf>
    <xf numFmtId="3" fontId="45" fillId="0" borderId="4" xfId="0" applyNumberFormat="1" applyFont="1" applyFill="1" applyBorder="1" applyAlignment="1" applyProtection="1">
      <alignment horizontal="right"/>
    </xf>
    <xf numFmtId="0" fontId="19" fillId="0" borderId="3" xfId="0" applyFont="1" applyFill="1" applyBorder="1" applyProtection="1">
      <protection locked="0"/>
    </xf>
    <xf numFmtId="3" fontId="45" fillId="0" borderId="6" xfId="0" applyNumberFormat="1" applyFont="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4" borderId="11" xfId="0" applyNumberFormat="1" applyFont="1" applyFill="1" applyBorder="1" applyAlignment="1" applyProtection="1">
      <alignment horizontal="right"/>
      <protection locked="0"/>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30" fillId="0" borderId="0" xfId="0" applyNumberFormat="1" applyFont="1" applyBorder="1" applyProtection="1">
      <protection locked="0"/>
    </xf>
    <xf numFmtId="3" fontId="62" fillId="0" borderId="0" xfId="0" applyNumberFormat="1" applyFont="1" applyBorder="1" applyProtection="1">
      <protection locked="0"/>
    </xf>
    <xf numFmtId="0" fontId="63" fillId="0" borderId="0" xfId="0" applyFont="1" applyProtection="1">
      <protection locked="0"/>
    </xf>
    <xf numFmtId="0" fontId="41" fillId="0" borderId="0" xfId="847" applyFont="1" applyProtection="1">
      <protection locked="0"/>
    </xf>
    <xf numFmtId="0" fontId="19" fillId="0" borderId="0" xfId="847" applyProtection="1">
      <protection locked="0"/>
    </xf>
    <xf numFmtId="164" fontId="19" fillId="0" borderId="0" xfId="847" applyNumberFormat="1" applyProtection="1">
      <protection locked="0"/>
    </xf>
    <xf numFmtId="3" fontId="58" fillId="4" borderId="0" xfId="847" applyNumberFormat="1" applyFont="1" applyFill="1" applyProtection="1">
      <protection locked="0"/>
    </xf>
    <xf numFmtId="164" fontId="19" fillId="0" borderId="0" xfId="847" applyNumberFormat="1" applyBorder="1" applyProtection="1">
      <protection locked="0"/>
    </xf>
    <xf numFmtId="14" fontId="13" fillId="0" borderId="7" xfId="847" applyNumberFormat="1" applyFont="1" applyFill="1" applyBorder="1" applyAlignment="1" applyProtection="1">
      <alignment horizontal="left"/>
      <protection locked="0"/>
    </xf>
    <xf numFmtId="0" fontId="17" fillId="0" borderId="10" xfId="847" applyFont="1" applyBorder="1" applyProtection="1">
      <protection locked="0"/>
    </xf>
    <xf numFmtId="0" fontId="17" fillId="0" borderId="8" xfId="847" applyFont="1" applyBorder="1" applyProtection="1">
      <protection locked="0"/>
    </xf>
    <xf numFmtId="0" fontId="17" fillId="0" borderId="9" xfId="847" applyFont="1" applyBorder="1" applyProtection="1">
      <protection locked="0"/>
    </xf>
    <xf numFmtId="0" fontId="69" fillId="0" borderId="8" xfId="847" applyFont="1" applyBorder="1" applyAlignment="1" applyProtection="1">
      <alignment horizontal="center"/>
      <protection locked="0"/>
    </xf>
    <xf numFmtId="164" fontId="17" fillId="4" borderId="0" xfId="847" applyNumberFormat="1" applyFont="1" applyFill="1" applyBorder="1" applyProtection="1">
      <protection locked="0"/>
    </xf>
    <xf numFmtId="0" fontId="17" fillId="4" borderId="0" xfId="847" applyFont="1" applyFill="1" applyBorder="1" applyProtection="1">
      <protection locked="0"/>
    </xf>
    <xf numFmtId="3" fontId="45" fillId="0" borderId="1" xfId="847" applyNumberFormat="1" applyFont="1" applyFill="1" applyBorder="1" applyProtection="1">
      <protection locked="0"/>
    </xf>
    <xf numFmtId="0" fontId="45" fillId="0" borderId="1" xfId="847" applyNumberFormat="1" applyFont="1" applyFill="1" applyBorder="1" applyAlignment="1" applyProtection="1">
      <alignment horizontal="center"/>
      <protection locked="0"/>
    </xf>
    <xf numFmtId="0" fontId="45" fillId="0" borderId="14" xfId="847" applyNumberFormat="1" applyFont="1" applyFill="1" applyBorder="1" applyAlignment="1" applyProtection="1">
      <alignment horizontal="center"/>
      <protection locked="0"/>
    </xf>
    <xf numFmtId="0" fontId="45" fillId="0" borderId="15" xfId="847" applyNumberFormat="1" applyFont="1" applyFill="1" applyBorder="1" applyAlignment="1" applyProtection="1">
      <alignment horizontal="center"/>
      <protection locked="0"/>
    </xf>
    <xf numFmtId="0" fontId="19" fillId="0" borderId="0" xfId="847" applyBorder="1" applyProtection="1">
      <protection locked="0"/>
    </xf>
    <xf numFmtId="0" fontId="45" fillId="4" borderId="0" xfId="847" applyNumberFormat="1" applyFont="1" applyFill="1" applyBorder="1" applyAlignment="1" applyProtection="1">
      <alignment horizontal="center"/>
      <protection locked="0"/>
    </xf>
    <xf numFmtId="3" fontId="45" fillId="0" borderId="4" xfId="847" applyNumberFormat="1" applyFont="1" applyFill="1" applyBorder="1" applyProtection="1">
      <protection locked="0"/>
    </xf>
    <xf numFmtId="0" fontId="15" fillId="0" borderId="1" xfId="847" applyNumberFormat="1" applyFont="1" applyFill="1" applyBorder="1" applyAlignment="1" applyProtection="1">
      <alignment horizontal="center"/>
      <protection locked="0"/>
    </xf>
    <xf numFmtId="0" fontId="15" fillId="0" borderId="7" xfId="847" applyNumberFormat="1" applyFont="1" applyFill="1" applyBorder="1" applyAlignment="1" applyProtection="1">
      <alignment horizontal="center"/>
      <protection locked="0"/>
    </xf>
    <xf numFmtId="3" fontId="50" fillId="4" borderId="11" xfId="847" applyNumberFormat="1" applyFont="1" applyFill="1" applyBorder="1" applyProtection="1">
      <protection locked="0"/>
    </xf>
    <xf numFmtId="0" fontId="13" fillId="0" borderId="6" xfId="847" applyFont="1" applyFill="1" applyBorder="1" applyAlignment="1" applyProtection="1">
      <alignment horizontal="center"/>
      <protection locked="0"/>
    </xf>
    <xf numFmtId="168" fontId="15" fillId="0" borderId="6" xfId="847" applyNumberFormat="1" applyFont="1" applyFill="1" applyBorder="1" applyAlignment="1" applyProtection="1">
      <alignment horizontal="center"/>
      <protection locked="0"/>
    </xf>
    <xf numFmtId="168" fontId="13" fillId="4" borderId="0" xfId="847" applyNumberFormat="1" applyFont="1" applyFill="1" applyBorder="1" applyAlignment="1" applyProtection="1">
      <alignment horizontal="center"/>
      <protection locked="0"/>
    </xf>
    <xf numFmtId="0" fontId="13" fillId="4" borderId="0" xfId="847" applyNumberFormat="1" applyFont="1" applyFill="1" applyBorder="1" applyAlignment="1" applyProtection="1">
      <alignment horizontal="center"/>
      <protection locked="0"/>
    </xf>
    <xf numFmtId="0" fontId="45" fillId="0" borderId="3" xfId="847" applyFont="1" applyFill="1" applyBorder="1" applyProtection="1">
      <protection locked="0"/>
    </xf>
    <xf numFmtId="4" fontId="30" fillId="4" borderId="3" xfId="847" applyNumberFormat="1" applyFont="1" applyFill="1" applyBorder="1" applyAlignment="1" applyProtection="1">
      <alignment horizontal="right"/>
    </xf>
    <xf numFmtId="4" fontId="30" fillId="4" borderId="3" xfId="847" applyNumberFormat="1" applyFont="1" applyFill="1" applyBorder="1" applyAlignment="1" applyProtection="1">
      <alignment horizontal="right"/>
      <protection locked="0"/>
    </xf>
    <xf numFmtId="4" fontId="30" fillId="4" borderId="2" xfId="847" applyNumberFormat="1" applyFont="1" applyFill="1" applyBorder="1" applyAlignment="1" applyProtection="1">
      <alignment horizontal="right"/>
    </xf>
    <xf numFmtId="4" fontId="30" fillId="4" borderId="4" xfId="847" applyNumberFormat="1" applyFont="1" applyFill="1" applyBorder="1" applyAlignment="1" applyProtection="1">
      <alignment horizontal="right"/>
    </xf>
    <xf numFmtId="4" fontId="30" fillId="4" borderId="4" xfId="847" applyNumberFormat="1" applyFont="1" applyFill="1" applyBorder="1" applyAlignment="1" applyProtection="1">
      <alignment horizontal="right"/>
      <protection locked="0"/>
    </xf>
    <xf numFmtId="4" fontId="30" fillId="4" borderId="7" xfId="847" applyNumberFormat="1" applyFont="1" applyFill="1" applyBorder="1" applyAlignment="1" applyProtection="1">
      <alignment horizontal="right"/>
    </xf>
    <xf numFmtId="0" fontId="36" fillId="0" borderId="0" xfId="847" applyFont="1" applyBorder="1" applyProtection="1">
      <protection locked="0"/>
    </xf>
    <xf numFmtId="0" fontId="36" fillId="0" borderId="0" xfId="847" applyFont="1" applyProtection="1">
      <protection locked="0"/>
    </xf>
    <xf numFmtId="0" fontId="30" fillId="0" borderId="4" xfId="847" applyFont="1" applyFill="1" applyBorder="1" applyProtection="1">
      <protection locked="0"/>
    </xf>
    <xf numFmtId="4" fontId="30" fillId="4" borderId="0" xfId="847" applyNumberFormat="1" applyFont="1" applyFill="1" applyBorder="1" applyAlignment="1" applyProtection="1">
      <alignment horizontal="right"/>
      <protection locked="0"/>
    </xf>
    <xf numFmtId="3" fontId="30" fillId="4" borderId="3" xfId="847" applyNumberFormat="1" applyFont="1" applyFill="1" applyBorder="1" applyAlignment="1" applyProtection="1">
      <alignment horizontal="right"/>
    </xf>
    <xf numFmtId="3" fontId="30" fillId="4" borderId="3" xfId="847" applyNumberFormat="1" applyFont="1" applyFill="1" applyBorder="1" applyAlignment="1" applyProtection="1">
      <alignment horizontal="right"/>
      <protection locked="0"/>
    </xf>
    <xf numFmtId="0" fontId="53" fillId="0" borderId="0" xfId="847" applyFont="1" applyBorder="1" applyProtection="1">
      <protection locked="0"/>
    </xf>
    <xf numFmtId="0" fontId="53" fillId="0" borderId="0" xfId="847" applyFont="1" applyProtection="1">
      <protection locked="0"/>
    </xf>
    <xf numFmtId="3" fontId="30" fillId="4" borderId="0" xfId="847" applyNumberFormat="1" applyFont="1" applyFill="1" applyBorder="1" applyAlignment="1" applyProtection="1">
      <alignment horizontal="right"/>
      <protection locked="0"/>
    </xf>
    <xf numFmtId="3" fontId="30" fillId="4" borderId="2"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0" fontId="30" fillId="0" borderId="11" xfId="847" applyFont="1" applyFill="1" applyBorder="1" applyProtection="1">
      <protection locked="0"/>
    </xf>
    <xf numFmtId="3" fontId="30" fillId="4" borderId="6" xfId="847" applyNumberFormat="1" applyFont="1" applyFill="1" applyBorder="1" applyAlignment="1" applyProtection="1">
      <alignment horizontal="right"/>
    </xf>
    <xf numFmtId="3" fontId="30" fillId="4" borderId="6" xfId="847" applyNumberFormat="1" applyFont="1" applyFill="1" applyBorder="1" applyAlignment="1" applyProtection="1">
      <alignment horizontal="right"/>
      <protection locked="0"/>
    </xf>
    <xf numFmtId="3" fontId="30" fillId="4" borderId="5" xfId="847" applyNumberFormat="1" applyFont="1" applyFill="1" applyBorder="1" applyAlignment="1" applyProtection="1">
      <alignment horizontal="right"/>
    </xf>
    <xf numFmtId="3" fontId="51" fillId="0" borderId="11" xfId="847" applyNumberFormat="1" applyFont="1" applyFill="1" applyBorder="1" applyAlignment="1" applyProtection="1">
      <alignment horizontal="right"/>
    </xf>
    <xf numFmtId="3" fontId="30" fillId="0" borderId="11" xfId="847" applyNumberFormat="1" applyFont="1" applyFill="1" applyBorder="1" applyAlignment="1" applyProtection="1">
      <alignment horizontal="right"/>
      <protection locked="0"/>
    </xf>
    <xf numFmtId="3" fontId="30" fillId="4" borderId="11" xfId="847" applyNumberFormat="1" applyFont="1" applyFill="1" applyBorder="1" applyAlignment="1" applyProtection="1">
      <alignment horizontal="right"/>
    </xf>
    <xf numFmtId="3" fontId="30" fillId="4" borderId="11" xfId="847" applyNumberFormat="1" applyFont="1" applyFill="1" applyBorder="1" applyAlignment="1" applyProtection="1">
      <alignment horizontal="right"/>
      <protection locked="0"/>
    </xf>
    <xf numFmtId="3" fontId="17" fillId="12" borderId="3" xfId="2" applyNumberFormat="1" applyFont="1" applyFill="1" applyBorder="1" applyAlignment="1">
      <alignment horizontal="left"/>
    </xf>
    <xf numFmtId="3" fontId="17" fillId="12" borderId="3" xfId="2" applyNumberFormat="1" applyFont="1" applyFill="1" applyBorder="1" applyAlignment="1">
      <alignment horizontal="right"/>
    </xf>
    <xf numFmtId="3" fontId="17" fillId="12" borderId="4" xfId="2" applyNumberFormat="1" applyFont="1" applyFill="1" applyBorder="1" applyAlignment="1">
      <alignment horizontal="right"/>
    </xf>
    <xf numFmtId="3" fontId="15" fillId="12" borderId="2" xfId="1" applyNumberFormat="1" applyFont="1" applyFill="1" applyBorder="1" applyAlignment="1">
      <alignment horizontal="right"/>
    </xf>
    <xf numFmtId="3" fontId="15" fillId="12" borderId="0" xfId="1" applyNumberFormat="1" applyFont="1" applyFill="1" applyBorder="1" applyAlignment="1">
      <alignment horizontal="right"/>
    </xf>
    <xf numFmtId="3" fontId="15" fillId="12" borderId="4" xfId="1" applyNumberFormat="1" applyFont="1" applyFill="1" applyBorder="1" applyAlignment="1">
      <alignment horizontal="right"/>
    </xf>
    <xf numFmtId="3" fontId="15" fillId="12" borderId="5" xfId="1" applyNumberFormat="1" applyFont="1" applyFill="1" applyBorder="1" applyAlignment="1">
      <alignment horizontal="right"/>
    </xf>
    <xf numFmtId="3" fontId="15" fillId="12" borderId="11" xfId="1" applyNumberFormat="1" applyFont="1" applyFill="1" applyBorder="1" applyAlignment="1">
      <alignment horizontal="right"/>
    </xf>
    <xf numFmtId="3" fontId="18" fillId="12" borderId="2" xfId="1" applyNumberFormat="1" applyFont="1" applyFill="1" applyBorder="1" applyAlignment="1">
      <alignment horizontal="right"/>
    </xf>
    <xf numFmtId="3" fontId="18" fillId="12" borderId="0" xfId="1" applyNumberFormat="1" applyFont="1" applyFill="1" applyBorder="1" applyAlignment="1">
      <alignment horizontal="right"/>
    </xf>
    <xf numFmtId="3" fontId="17" fillId="12" borderId="2" xfId="1" applyNumberFormat="1" applyFont="1" applyFill="1" applyBorder="1" applyAlignment="1">
      <alignment horizontal="right"/>
    </xf>
    <xf numFmtId="3" fontId="17" fillId="12" borderId="0" xfId="1" applyNumberFormat="1" applyFont="1" applyFill="1" applyBorder="1" applyAlignment="1">
      <alignment horizontal="right"/>
    </xf>
    <xf numFmtId="3" fontId="17" fillId="2" borderId="2" xfId="1" quotePrefix="1" applyNumberFormat="1" applyFont="1" applyFill="1" applyBorder="1" applyAlignment="1">
      <alignment horizontal="right"/>
    </xf>
    <xf numFmtId="3" fontId="15" fillId="0" borderId="10" xfId="1" applyNumberFormat="1" applyFont="1" applyBorder="1" applyAlignment="1">
      <alignment horizontal="left"/>
    </xf>
    <xf numFmtId="14" fontId="13" fillId="0" borderId="6" xfId="0" applyNumberFormat="1" applyFont="1" applyFill="1" applyBorder="1" applyAlignment="1">
      <alignment horizontal="left"/>
    </xf>
    <xf numFmtId="0" fontId="45" fillId="0" borderId="14" xfId="0" applyFont="1" applyBorder="1"/>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1" xfId="0"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5" xfId="0"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4" borderId="0" xfId="847" applyNumberFormat="1" applyFont="1" applyFill="1" applyBorder="1" applyAlignment="1" applyProtection="1">
      <alignment horizontal="center"/>
      <protection locked="0"/>
    </xf>
    <xf numFmtId="0" fontId="45" fillId="0" borderId="11" xfId="847" applyNumberFormat="1" applyFont="1" applyFill="1" applyBorder="1" applyAlignment="1" applyProtection="1">
      <alignment horizontal="center"/>
      <protection locked="0"/>
    </xf>
    <xf numFmtId="0" fontId="45" fillId="0" borderId="12" xfId="847" applyNumberFormat="1" applyFont="1" applyFill="1" applyBorder="1" applyAlignment="1" applyProtection="1">
      <alignment horizontal="center"/>
      <protection locked="0"/>
    </xf>
    <xf numFmtId="0" fontId="45" fillId="0" borderId="5" xfId="847" applyNumberFormat="1" applyFont="1" applyFill="1" applyBorder="1" applyAlignment="1" applyProtection="1">
      <alignment horizontal="center"/>
      <protection locked="0"/>
    </xf>
    <xf numFmtId="0" fontId="45" fillId="0" borderId="1" xfId="847" applyNumberFormat="1" applyFont="1" applyFill="1" applyBorder="1" applyAlignment="1" applyProtection="1">
      <alignment horizontal="center"/>
      <protection locked="0"/>
    </xf>
    <xf numFmtId="0" fontId="45" fillId="0" borderId="14" xfId="847" applyNumberFormat="1" applyFont="1" applyFill="1" applyBorder="1" applyAlignment="1" applyProtection="1">
      <alignment horizontal="center"/>
      <protection locked="0"/>
    </xf>
    <xf numFmtId="0" fontId="45" fillId="0" borderId="15" xfId="847" applyNumberFormat="1" applyFont="1" applyFill="1" applyBorder="1" applyAlignment="1" applyProtection="1">
      <alignment horizontal="center"/>
      <protection locked="0"/>
    </xf>
  </cellXfs>
  <cellStyles count="848">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8 2" xfId="847"/>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19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0</c:v>
                </c:pt>
                <c:pt idx="1">
                  <c:v>295963.266</c:v>
                </c:pt>
                <c:pt idx="2">
                  <c:v>5603733</c:v>
                </c:pt>
                <c:pt idx="3">
                  <c:v>302208</c:v>
                </c:pt>
                <c:pt idx="4">
                  <c:v>454023</c:v>
                </c:pt>
                <c:pt idx="5">
                  <c:v>4460</c:v>
                </c:pt>
                <c:pt idx="6">
                  <c:v>1280022</c:v>
                </c:pt>
                <c:pt idx="7">
                  <c:v>349737.36647000001</c:v>
                </c:pt>
                <c:pt idx="8">
                  <c:v>29736</c:v>
                </c:pt>
                <c:pt idx="9">
                  <c:v>334860.86629999999</c:v>
                </c:pt>
                <c:pt idx="10">
                  <c:v>26078051.088160001</c:v>
                </c:pt>
                <c:pt idx="11">
                  <c:v>82464</c:v>
                </c:pt>
                <c:pt idx="12">
                  <c:v>122502</c:v>
                </c:pt>
                <c:pt idx="13">
                  <c:v>22948</c:v>
                </c:pt>
                <c:pt idx="14">
                  <c:v>1465</c:v>
                </c:pt>
                <c:pt idx="15">
                  <c:v>1741415.5880896798</c:v>
                </c:pt>
                <c:pt idx="16">
                  <c:v>3324961</c:v>
                </c:pt>
                <c:pt idx="17">
                  <c:v>1933661.03204</c:v>
                </c:pt>
                <c:pt idx="18">
                  <c:v>5604066.0920000002</c:v>
                </c:pt>
                <c:pt idx="19">
                  <c:v>25828</c:v>
                </c:pt>
                <c:pt idx="20">
                  <c:v>499374.44325000001</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2017</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296945.32299999997</c:v>
                </c:pt>
                <c:pt idx="2">
                  <c:v>3987303.2930000001</c:v>
                </c:pt>
                <c:pt idx="3">
                  <c:v>210802</c:v>
                </c:pt>
                <c:pt idx="4">
                  <c:v>492991.8</c:v>
                </c:pt>
                <c:pt idx="5">
                  <c:v>5631</c:v>
                </c:pt>
                <c:pt idx="6">
                  <c:v>1345481</c:v>
                </c:pt>
                <c:pt idx="7">
                  <c:v>397649.359</c:v>
                </c:pt>
                <c:pt idx="8">
                  <c:v>28772</c:v>
                </c:pt>
                <c:pt idx="9">
                  <c:v>349378.46600000001</c:v>
                </c:pt>
                <c:pt idx="10">
                  <c:v>23695892.482170001</c:v>
                </c:pt>
                <c:pt idx="11">
                  <c:v>61324</c:v>
                </c:pt>
                <c:pt idx="12">
                  <c:v>138577.38699999999</c:v>
                </c:pt>
                <c:pt idx="13">
                  <c:v>24813</c:v>
                </c:pt>
                <c:pt idx="14">
                  <c:v>2011</c:v>
                </c:pt>
                <c:pt idx="15">
                  <c:v>1209085.466300502</c:v>
                </c:pt>
                <c:pt idx="16">
                  <c:v>3152879</c:v>
                </c:pt>
                <c:pt idx="17">
                  <c:v>2040328.4479700001</c:v>
                </c:pt>
                <c:pt idx="18">
                  <c:v>4082640.2379999999</c:v>
                </c:pt>
                <c:pt idx="19">
                  <c:v>23751</c:v>
                </c:pt>
                <c:pt idx="20">
                  <c:v>487718.42099999997</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Figurer!$M$36:$M$46</c:f>
              <c:numCache>
                <c:formatCode>#,##0</c:formatCode>
                <c:ptCount val="11"/>
                <c:pt idx="0">
                  <c:v>1195735.773</c:v>
                </c:pt>
                <c:pt idx="1">
                  <c:v>5845636</c:v>
                </c:pt>
                <c:pt idx="2">
                  <c:v>226726</c:v>
                </c:pt>
                <c:pt idx="3">
                  <c:v>1468168.62167</c:v>
                </c:pt>
                <c:pt idx="4">
                  <c:v>110318.236</c:v>
                </c:pt>
                <c:pt idx="5">
                  <c:v>199650</c:v>
                </c:pt>
                <c:pt idx="6">
                  <c:v>6359161.8999500005</c:v>
                </c:pt>
                <c:pt idx="7">
                  <c:v>90696</c:v>
                </c:pt>
                <c:pt idx="8">
                  <c:v>-0.69540974</c:v>
                </c:pt>
                <c:pt idx="9">
                  <c:v>1535857.55262</c:v>
                </c:pt>
                <c:pt idx="10">
                  <c:v>7164503.4420000007</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Figurer!$N$36:$N$46</c:f>
              <c:numCache>
                <c:formatCode>#,##0</c:formatCode>
                <c:ptCount val="11"/>
                <c:pt idx="0">
                  <c:v>1286598.7120000001</c:v>
                </c:pt>
                <c:pt idx="1">
                  <c:v>6258891</c:v>
                </c:pt>
                <c:pt idx="2">
                  <c:v>255316</c:v>
                </c:pt>
                <c:pt idx="3">
                  <c:v>1851333.284</c:v>
                </c:pt>
                <c:pt idx="4">
                  <c:v>84881.887000000002</c:v>
                </c:pt>
                <c:pt idx="5">
                  <c:v>262322</c:v>
                </c:pt>
                <c:pt idx="6">
                  <c:v>6592823.6751499996</c:v>
                </c:pt>
                <c:pt idx="7">
                  <c:v>84302</c:v>
                </c:pt>
                <c:pt idx="8">
                  <c:v>0</c:v>
                </c:pt>
                <c:pt idx="9">
                  <c:v>2157471.7934900001</c:v>
                </c:pt>
                <c:pt idx="10">
                  <c:v>7537662.6210000012</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2016</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Figurer!$M$60:$M$74</c:f>
              <c:numCache>
                <c:formatCode>#,##0</c:formatCode>
                <c:ptCount val="15"/>
                <c:pt idx="0">
                  <c:v>921554.28399999999</c:v>
                </c:pt>
                <c:pt idx="1">
                  <c:v>205209654</c:v>
                </c:pt>
                <c:pt idx="2">
                  <c:v>0</c:v>
                </c:pt>
                <c:pt idx="3">
                  <c:v>738160</c:v>
                </c:pt>
                <c:pt idx="4">
                  <c:v>0</c:v>
                </c:pt>
                <c:pt idx="5">
                  <c:v>5218584.7713399995</c:v>
                </c:pt>
                <c:pt idx="6">
                  <c:v>23804</c:v>
                </c:pt>
                <c:pt idx="7">
                  <c:v>0</c:v>
                </c:pt>
                <c:pt idx="8">
                  <c:v>416576263.68419999</c:v>
                </c:pt>
                <c:pt idx="9">
                  <c:v>1465104</c:v>
                </c:pt>
                <c:pt idx="10">
                  <c:v>48325800.010000005</c:v>
                </c:pt>
                <c:pt idx="11">
                  <c:v>63722413</c:v>
                </c:pt>
                <c:pt idx="12">
                  <c:v>8663691.5365299992</c:v>
                </c:pt>
                <c:pt idx="13">
                  <c:v>16959011.261780001</c:v>
                </c:pt>
                <c:pt idx="14">
                  <c:v>175999064.08508003</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2017</c:v>
                </c:pt>
              </c:strCache>
            </c:strRef>
          </c:tx>
          <c:invertIfNegative val="0"/>
          <c:cat>
            <c:strLit>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Silver</c:v>
              </c:pt>
              <c:pt idx="13">
                <c:v>SpareBank 1</c:v>
              </c:pt>
              <c:pt idx="14">
                <c:v>Storebrand </c:v>
              </c:pt>
            </c:strLit>
          </c:cat>
          <c:val>
            <c:numRef>
              <c:f>Figurer!$N$60:$N$74</c:f>
              <c:numCache>
                <c:formatCode>#,##0</c:formatCode>
                <c:ptCount val="15"/>
                <c:pt idx="0">
                  <c:v>1007145.416</c:v>
                </c:pt>
                <c:pt idx="1">
                  <c:v>202963024</c:v>
                </c:pt>
                <c:pt idx="2">
                  <c:v>0</c:v>
                </c:pt>
                <c:pt idx="3">
                  <c:v>882143</c:v>
                </c:pt>
                <c:pt idx="4">
                  <c:v>0</c:v>
                </c:pt>
                <c:pt idx="5">
                  <c:v>5849818.0779999997</c:v>
                </c:pt>
                <c:pt idx="6">
                  <c:v>24751</c:v>
                </c:pt>
                <c:pt idx="7">
                  <c:v>0</c:v>
                </c:pt>
                <c:pt idx="8">
                  <c:v>439040297.38777</c:v>
                </c:pt>
                <c:pt idx="9">
                  <c:v>1539670</c:v>
                </c:pt>
                <c:pt idx="10">
                  <c:v>49512507.851999976</c:v>
                </c:pt>
                <c:pt idx="11">
                  <c:v>69246198</c:v>
                </c:pt>
                <c:pt idx="12">
                  <c:v>0</c:v>
                </c:pt>
                <c:pt idx="13">
                  <c:v>17948766.884909999</c:v>
                </c:pt>
                <c:pt idx="14">
                  <c:v>176373831.59999999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2016</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Figurer!$M$85:$M$95</c:f>
              <c:numCache>
                <c:formatCode>#,##0</c:formatCode>
                <c:ptCount val="11"/>
                <c:pt idx="0">
                  <c:v>13128957.816</c:v>
                </c:pt>
                <c:pt idx="1">
                  <c:v>56416731</c:v>
                </c:pt>
                <c:pt idx="2">
                  <c:v>2500425</c:v>
                </c:pt>
                <c:pt idx="3">
                  <c:v>16856721.39872</c:v>
                </c:pt>
                <c:pt idx="4">
                  <c:v>2160404.7961499998</c:v>
                </c:pt>
                <c:pt idx="5">
                  <c:v>1486637</c:v>
                </c:pt>
                <c:pt idx="6">
                  <c:v>44252990</c:v>
                </c:pt>
                <c:pt idx="7">
                  <c:v>1612357</c:v>
                </c:pt>
                <c:pt idx="8">
                  <c:v>432248.26272</c:v>
                </c:pt>
                <c:pt idx="9">
                  <c:v>18158905.377149999</c:v>
                </c:pt>
                <c:pt idx="10">
                  <c:v>61277517.591000006</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2017</c:v>
                </c:pt>
              </c:strCache>
            </c:strRef>
          </c:tx>
          <c:invertIfNegative val="0"/>
          <c:cat>
            <c:strLit>
              <c:ptCount val="11"/>
              <c:pt idx="0">
                <c:v>Danica Pensjon</c:v>
              </c:pt>
              <c:pt idx="1">
                <c:v>DNB Liv</c:v>
              </c:pt>
              <c:pt idx="2">
                <c:v>Frende Livsfors</c:v>
              </c:pt>
              <c:pt idx="3">
                <c:v>Gjensidige Pensj</c:v>
              </c:pt>
              <c:pt idx="4">
                <c:v>KLP</c:v>
              </c:pt>
              <c:pt idx="5">
                <c:v>KLP Bedriftsp</c:v>
              </c:pt>
              <c:pt idx="6">
                <c:v>Nordea Liv</c:v>
              </c:pt>
              <c:pt idx="7">
                <c:v>SHB Liv</c:v>
              </c:pt>
              <c:pt idx="8">
                <c:v>Silver</c:v>
              </c:pt>
              <c:pt idx="9">
                <c:v>SpareBank 1</c:v>
              </c:pt>
              <c:pt idx="10">
                <c:v>Storebrand</c:v>
              </c:pt>
            </c:strLit>
          </c:cat>
          <c:val>
            <c:numRef>
              <c:f>Figurer!$N$85:$N$95</c:f>
              <c:numCache>
                <c:formatCode>#,##0</c:formatCode>
                <c:ptCount val="11"/>
                <c:pt idx="0">
                  <c:v>16087298.015000001</c:v>
                </c:pt>
                <c:pt idx="1">
                  <c:v>70689761</c:v>
                </c:pt>
                <c:pt idx="2">
                  <c:v>3022527.8</c:v>
                </c:pt>
                <c:pt idx="3">
                  <c:v>21451220.490000002</c:v>
                </c:pt>
                <c:pt idx="4">
                  <c:v>2330198.9161499999</c:v>
                </c:pt>
                <c:pt idx="5">
                  <c:v>2432471</c:v>
                </c:pt>
                <c:pt idx="6">
                  <c:v>54647570</c:v>
                </c:pt>
                <c:pt idx="7">
                  <c:v>1949500</c:v>
                </c:pt>
                <c:pt idx="8">
                  <c:v>0</c:v>
                </c:pt>
                <c:pt idx="9">
                  <c:v>23504999.904489998</c:v>
                </c:pt>
                <c:pt idx="10">
                  <c:v>75354538.838</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Figurer!$M$111</c:f>
              <c:strCache>
                <c:ptCount val="1"/>
                <c:pt idx="0">
                  <c:v>2016</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Figurer!$M$112:$M$120</c:f>
              <c:numCache>
                <c:formatCode>#,##0</c:formatCode>
                <c:ptCount val="9"/>
                <c:pt idx="0">
                  <c:v>-13818.659000000003</c:v>
                </c:pt>
                <c:pt idx="1">
                  <c:v>339103</c:v>
                </c:pt>
                <c:pt idx="2">
                  <c:v>13427.598209999996</c:v>
                </c:pt>
                <c:pt idx="3">
                  <c:v>3407665.2990000001</c:v>
                </c:pt>
                <c:pt idx="4">
                  <c:v>1186</c:v>
                </c:pt>
                <c:pt idx="5">
                  <c:v>-152886.35</c:v>
                </c:pt>
                <c:pt idx="6">
                  <c:v>-7054.66392</c:v>
                </c:pt>
                <c:pt idx="7">
                  <c:v>66489.531299999988</c:v>
                </c:pt>
                <c:pt idx="8">
                  <c:v>-1944428.4140000001</c:v>
                </c:pt>
              </c:numCache>
            </c:numRef>
          </c:val>
          <c:extLst>
            <c:ext xmlns:c16="http://schemas.microsoft.com/office/drawing/2014/chart" uri="{C3380CC4-5D6E-409C-BE32-E72D297353CC}">
              <c16:uniqueId val="{00000000-2BF8-4278-857F-91A0E7196849}"/>
            </c:ext>
          </c:extLst>
        </c:ser>
        <c:ser>
          <c:idx val="1"/>
          <c:order val="1"/>
          <c:tx>
            <c:strRef>
              <c:f>Figurer!$N$111</c:f>
              <c:strCache>
                <c:ptCount val="1"/>
                <c:pt idx="0">
                  <c:v>2017</c:v>
                </c:pt>
              </c:strCache>
            </c:strRef>
          </c:tx>
          <c:invertIfNegative val="0"/>
          <c:cat>
            <c:strLit>
              <c:ptCount val="9"/>
              <c:pt idx="0">
                <c:v>Danica Pensjon</c:v>
              </c:pt>
              <c:pt idx="1">
                <c:v>DNB Liv</c:v>
              </c:pt>
              <c:pt idx="2">
                <c:v>Gjensidige Pensj</c:v>
              </c:pt>
              <c:pt idx="3">
                <c:v>KLP</c:v>
              </c:pt>
              <c:pt idx="4">
                <c:v>KLP Bedriftsp</c:v>
              </c:pt>
              <c:pt idx="5">
                <c:v>Nordea Liv</c:v>
              </c:pt>
              <c:pt idx="6">
                <c:v>Silver</c:v>
              </c:pt>
              <c:pt idx="7">
                <c:v>SpareBank 1</c:v>
              </c:pt>
              <c:pt idx="8">
                <c:v>Storebrand </c:v>
              </c:pt>
            </c:strLit>
          </c:cat>
          <c:val>
            <c:numRef>
              <c:f>Figurer!$N$112:$N$120</c:f>
              <c:numCache>
                <c:formatCode>#,##0</c:formatCode>
                <c:ptCount val="9"/>
                <c:pt idx="0">
                  <c:v>8925.6419999999998</c:v>
                </c:pt>
                <c:pt idx="1">
                  <c:v>384120</c:v>
                </c:pt>
                <c:pt idx="2">
                  <c:v>30047.581000000006</c:v>
                </c:pt>
                <c:pt idx="3">
                  <c:v>-27827.16399999999</c:v>
                </c:pt>
                <c:pt idx="4">
                  <c:v>-13752</c:v>
                </c:pt>
                <c:pt idx="5">
                  <c:v>-64871.0142000001</c:v>
                </c:pt>
                <c:pt idx="6">
                  <c:v>0</c:v>
                </c:pt>
                <c:pt idx="7">
                  <c:v>7266.8838999999971</c:v>
                </c:pt>
                <c:pt idx="8">
                  <c:v>-259239.61099999998</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Figurer!$M$137</c:f>
              <c:strCache>
                <c:ptCount val="1"/>
                <c:pt idx="0">
                  <c:v>2016</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Figurer!$M$138:$M$147</c:f>
              <c:numCache>
                <c:formatCode>#,##0</c:formatCode>
                <c:ptCount val="10"/>
                <c:pt idx="0">
                  <c:v>52563.20199999999</c:v>
                </c:pt>
                <c:pt idx="1">
                  <c:v>225817</c:v>
                </c:pt>
                <c:pt idx="2">
                  <c:v>-25788.043999999994</c:v>
                </c:pt>
                <c:pt idx="3">
                  <c:v>335536.56199999998</c:v>
                </c:pt>
                <c:pt idx="4">
                  <c:v>57815</c:v>
                </c:pt>
                <c:pt idx="5">
                  <c:v>-536369.09571999998</c:v>
                </c:pt>
                <c:pt idx="6">
                  <c:v>61517</c:v>
                </c:pt>
                <c:pt idx="7">
                  <c:v>-103175</c:v>
                </c:pt>
                <c:pt idx="8">
                  <c:v>853472.12346000003</c:v>
                </c:pt>
                <c:pt idx="9">
                  <c:v>-890405.82700000005</c:v>
                </c:pt>
              </c:numCache>
            </c:numRef>
          </c:val>
          <c:extLst>
            <c:ext xmlns:c16="http://schemas.microsoft.com/office/drawing/2014/chart" uri="{C3380CC4-5D6E-409C-BE32-E72D297353CC}">
              <c16:uniqueId val="{00000000-B400-4C26-965B-0553A4A37873}"/>
            </c:ext>
          </c:extLst>
        </c:ser>
        <c:ser>
          <c:idx val="1"/>
          <c:order val="1"/>
          <c:tx>
            <c:strRef>
              <c:f>Figurer!$N$137</c:f>
              <c:strCache>
                <c:ptCount val="1"/>
                <c:pt idx="0">
                  <c:v>2017</c:v>
                </c:pt>
              </c:strCache>
            </c:strRef>
          </c:tx>
          <c:invertIfNegative val="0"/>
          <c:cat>
            <c:strLit>
              <c:ptCount val="10"/>
              <c:pt idx="0">
                <c:v>Danica Pensjon</c:v>
              </c:pt>
              <c:pt idx="1">
                <c:v>DNB Liv</c:v>
              </c:pt>
              <c:pt idx="2">
                <c:v>Frende Livsfors</c:v>
              </c:pt>
              <c:pt idx="3">
                <c:v>Gjensidige Pensj</c:v>
              </c:pt>
              <c:pt idx="4">
                <c:v>KLP Bedriftsp</c:v>
              </c:pt>
              <c:pt idx="5">
                <c:v>Nordea Liv</c:v>
              </c:pt>
              <c:pt idx="6">
                <c:v>SHB Liv</c:v>
              </c:pt>
              <c:pt idx="7">
                <c:v>Silver</c:v>
              </c:pt>
              <c:pt idx="8">
                <c:v>SpareBank 1</c:v>
              </c:pt>
              <c:pt idx="9">
                <c:v>Storebrand</c:v>
              </c:pt>
            </c:strLit>
          </c:cat>
          <c:val>
            <c:numRef>
              <c:f>Figurer!$N$138:$N$147</c:f>
              <c:numCache>
                <c:formatCode>#,##0</c:formatCode>
                <c:ptCount val="10"/>
                <c:pt idx="0">
                  <c:v>206271.34200000006</c:v>
                </c:pt>
                <c:pt idx="1">
                  <c:v>1374998</c:v>
                </c:pt>
                <c:pt idx="2">
                  <c:v>-46922</c:v>
                </c:pt>
                <c:pt idx="3">
                  <c:v>764744.39299999992</c:v>
                </c:pt>
                <c:pt idx="4">
                  <c:v>349100</c:v>
                </c:pt>
                <c:pt idx="5">
                  <c:v>-993310.38032999984</c:v>
                </c:pt>
                <c:pt idx="6">
                  <c:v>63074</c:v>
                </c:pt>
                <c:pt idx="7">
                  <c:v>0</c:v>
                </c:pt>
                <c:pt idx="8">
                  <c:v>802761.49941999989</c:v>
                </c:pt>
                <c:pt idx="9">
                  <c:v>-2471418.9609999997</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2017 </a:t>
          </a:r>
          <a:r>
            <a:rPr lang="nb-NO" sz="1100" b="0">
              <a:effectLst/>
              <a:latin typeface="Arial"/>
              <a:ea typeface="ＭＳ 明朝"/>
              <a:cs typeface="Times New Roman"/>
            </a:rPr>
            <a:t>(15.11.2017)</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74</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57150</xdr:rowOff>
    </xdr:from>
    <xdr:to>
      <xdr:col>9</xdr:col>
      <xdr:colOff>123825</xdr:colOff>
      <xdr:row>102</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109</xdr:row>
      <xdr:rowOff>28575</xdr:rowOff>
    </xdr:from>
    <xdr:to>
      <xdr:col>9</xdr:col>
      <xdr:colOff>180975</xdr:colOff>
      <xdr:row>126</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57150</xdr:rowOff>
    </xdr:from>
    <xdr:to>
      <xdr:col>9</xdr:col>
      <xdr:colOff>171450</xdr:colOff>
      <xdr:row>153</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effectLst/>
            <a:latin typeface="Times New Roman" panose="02020603050405020304" pitchFamily="18" charset="0"/>
            <a:cs typeface="Times New Roman" panose="02020603050405020304" pitchFamily="18" charset="0"/>
          </a:endParaRPr>
        </a:p>
        <a:p>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ACE European Group:</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2017.</a:t>
          </a:r>
          <a:br>
            <a:rPr lang="nb-NO" sz="1100" b="0" i="0" baseline="0">
              <a:solidFill>
                <a:schemeClr val="dk1"/>
              </a:solidFill>
              <a:effectLst/>
              <a:latin typeface="Times New Roman" panose="02020603050405020304" pitchFamily="18" charset="0"/>
              <a:ea typeface="+mn-ea"/>
              <a:cs typeface="Times New Roman" panose="02020603050405020304" pitchFamily="18" charset="0"/>
            </a:rPr>
          </a:br>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Danica Pensjon</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2016-tall:</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brutto forfalt premie og forsikringsforpliktelser for individuell pensjon og individuell kapital i forhold til fjorårets statistikk.</a:t>
          </a:r>
          <a:br>
            <a:rPr lang="nb-NO" sz="1100" b="0" i="0" u="none" baseline="0">
              <a:solidFill>
                <a:schemeClr val="dk1"/>
              </a:solidFill>
              <a:effectLst/>
              <a:latin typeface="Times New Roman" panose="02020603050405020304" pitchFamily="18" charset="0"/>
              <a:ea typeface="+mn-ea"/>
              <a:cs typeface="Times New Roman" panose="02020603050405020304" pitchFamily="18" charset="0"/>
            </a:rPr>
          </a:br>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Gjensidige Pensjon</a:t>
          </a:r>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2016-tall:</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brutto forfalt premie knyttet til privat kollektiv pensjon med og uten investeringsvalg.</a:t>
          </a:r>
        </a:p>
        <a:p>
          <a:pPr eaLnBrk="1" fontAlgn="auto" latinLnBrk="0" hangingPunct="1"/>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KLP</a:t>
          </a:r>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2016-tall:</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Det er foretatt enkelte endringer i brutto forfalt premie for gruppeliv og kommunal kollektiv pensjon.</a:t>
          </a:r>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endParaRPr lang="nb-NO" sz="1100" b="0" i="0" u="none"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Nemi Forsikring</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2017-tall:</a:t>
          </a:r>
        </a:p>
        <a:p>
          <a:pPr eaLnBrk="1" fontAlgn="auto" latinLnBrk="0" hangingPunct="1"/>
          <a:r>
            <a:rPr lang="nb-NO" sz="1100" b="0" i="0" u="none" baseline="0">
              <a:solidFill>
                <a:schemeClr val="dk1"/>
              </a:solidFill>
              <a:effectLst/>
              <a:latin typeface="Times New Roman" panose="02020603050405020304" pitchFamily="18" charset="0"/>
              <a:ea typeface="+mn-ea"/>
              <a:cs typeface="Times New Roman" panose="02020603050405020304" pitchFamily="18" charset="0"/>
            </a:rPr>
            <a:t>Det er benyttet tall fra 2. kvartal.</a:t>
          </a:r>
        </a:p>
        <a:p>
          <a:pPr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Silver Pensjonsforsikring</a:t>
          </a:r>
          <a:endParaRPr lang="en-US">
            <a:effectLst/>
            <a:latin typeface="Times New Roman" panose="02020603050405020304" pitchFamily="18" charset="0"/>
            <a:cs typeface="Times New Roman" panose="02020603050405020304" pitchFamily="18" charset="0"/>
          </a:endParaRPr>
        </a:p>
        <a:p>
          <a:pPr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Selskapet har ikke levert data for 2017. </a:t>
          </a:r>
        </a:p>
        <a:p>
          <a:pPr eaLnBrk="1" fontAlgn="auto" latinLnBrk="0" hangingPunct="1"/>
          <a:endParaRPr lang="nb-NO" sz="1100">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topLeftCell="A11" zoomScale="90" zoomScaleNormal="90" workbookViewId="0">
      <selection activeCell="E69" sqref="E69"/>
    </sheetView>
  </sheetViews>
  <sheetFormatPr baseColWidth="10" defaultColWidth="11.42578125" defaultRowHeight="12.75" x14ac:dyDescent="0.2"/>
  <sheetData>
    <row r="1" spans="2:9" s="49" customFormat="1" x14ac:dyDescent="0.2"/>
    <row r="2" spans="2:9" s="49" customFormat="1" x14ac:dyDescent="0.2"/>
    <row r="3" spans="2:9" s="49" customFormat="1" x14ac:dyDescent="0.2"/>
    <row r="4" spans="2:9" s="49" customFormat="1" x14ac:dyDescent="0.2"/>
    <row r="5" spans="2:9" s="49" customFormat="1" x14ac:dyDescent="0.2">
      <c r="B5" s="50"/>
      <c r="C5" s="50"/>
      <c r="D5" s="50"/>
      <c r="E5" s="50"/>
      <c r="F5" s="50"/>
      <c r="G5" s="50"/>
      <c r="H5" s="50"/>
    </row>
    <row r="6" spans="2:9" s="49" customFormat="1" ht="23.25" x14ac:dyDescent="0.35">
      <c r="B6" s="51"/>
      <c r="C6" s="50"/>
      <c r="D6" s="50"/>
      <c r="E6" s="50"/>
      <c r="F6" s="50"/>
      <c r="G6" s="50"/>
      <c r="H6" s="50"/>
      <c r="I6" s="52"/>
    </row>
    <row r="7" spans="2:9" s="49" customFormat="1" x14ac:dyDescent="0.2">
      <c r="B7" s="50"/>
      <c r="C7" s="50"/>
      <c r="D7" s="50"/>
      <c r="E7" s="50"/>
      <c r="F7" s="50"/>
      <c r="G7" s="50"/>
      <c r="H7" s="50"/>
      <c r="I7" s="50"/>
    </row>
    <row r="8" spans="2:9" s="49" customFormat="1" x14ac:dyDescent="0.2">
      <c r="B8" s="50"/>
      <c r="C8" s="50"/>
      <c r="D8" s="50"/>
      <c r="F8" s="50"/>
      <c r="G8" s="50"/>
      <c r="H8" s="50"/>
    </row>
    <row r="9" spans="2:9" s="49" customFormat="1" x14ac:dyDescent="0.2">
      <c r="B9" s="50"/>
      <c r="C9" s="50"/>
      <c r="D9" s="50"/>
      <c r="E9" s="50"/>
      <c r="F9" s="50"/>
      <c r="G9" s="50"/>
      <c r="H9" s="50"/>
    </row>
    <row r="10" spans="2:9" s="49" customFormat="1" ht="23.25" x14ac:dyDescent="0.35">
      <c r="B10" s="50"/>
      <c r="C10" s="50"/>
      <c r="D10" s="50"/>
      <c r="I10" s="52"/>
    </row>
    <row r="11" spans="2:9" s="49" customFormat="1" x14ac:dyDescent="0.2">
      <c r="B11" s="50"/>
      <c r="C11" s="50"/>
      <c r="D11" s="50"/>
    </row>
    <row r="12" spans="2:9" s="49" customFormat="1" ht="27" customHeight="1" x14ac:dyDescent="0.35">
      <c r="B12" s="50"/>
      <c r="C12" s="50"/>
      <c r="D12" s="50"/>
      <c r="E12" s="50"/>
      <c r="F12" s="50"/>
      <c r="G12" s="50"/>
      <c r="H12" s="50"/>
      <c r="I12" s="52"/>
    </row>
    <row r="13" spans="2:9" s="49" customFormat="1" ht="19.5" customHeight="1" x14ac:dyDescent="0.35">
      <c r="B13" s="50"/>
      <c r="I13" s="52"/>
    </row>
    <row r="14" spans="2:9" s="49" customFormat="1" x14ac:dyDescent="0.2">
      <c r="B14" s="50"/>
      <c r="C14" s="50"/>
      <c r="D14" s="50"/>
      <c r="F14" s="50"/>
      <c r="G14" s="50"/>
      <c r="H14" s="50"/>
    </row>
    <row r="15" spans="2:9" s="49" customFormat="1" x14ac:dyDescent="0.2">
      <c r="B15" s="50"/>
      <c r="C15" s="50"/>
      <c r="D15" s="50"/>
      <c r="F15" s="50"/>
      <c r="G15" s="50"/>
      <c r="H15" s="50"/>
      <c r="I15" s="50"/>
    </row>
    <row r="16" spans="2:9" s="49" customFormat="1" ht="34.5" x14ac:dyDescent="0.45">
      <c r="B16" s="50"/>
      <c r="C16" s="50"/>
      <c r="D16" s="50"/>
      <c r="E16" s="53"/>
      <c r="F16" s="50"/>
      <c r="G16" s="50"/>
      <c r="H16" s="50"/>
      <c r="I16" s="50"/>
    </row>
    <row r="17" spans="2:9" s="49" customFormat="1" ht="33" x14ac:dyDescent="0.45">
      <c r="B17" s="50"/>
      <c r="C17" s="50"/>
      <c r="D17" s="50"/>
      <c r="E17" s="54"/>
      <c r="F17" s="50"/>
      <c r="G17" s="50"/>
      <c r="H17" s="50"/>
      <c r="I17" s="50"/>
    </row>
    <row r="18" spans="2:9" s="49" customFormat="1" ht="33" x14ac:dyDescent="0.45">
      <c r="D18" s="54"/>
    </row>
    <row r="19" spans="2:9" s="49" customFormat="1" ht="18.75" x14ac:dyDescent="0.3">
      <c r="E19" s="55"/>
      <c r="I19" s="56"/>
    </row>
    <row r="20" spans="2:9" s="49" customFormat="1" x14ac:dyDescent="0.2"/>
    <row r="21" spans="2:9" s="49" customFormat="1" x14ac:dyDescent="0.2">
      <c r="E21" s="57"/>
    </row>
    <row r="22" spans="2:9" s="49" customFormat="1" ht="26.25" x14ac:dyDescent="0.4">
      <c r="E22" s="58"/>
    </row>
    <row r="23" spans="2:9" s="49" customFormat="1" x14ac:dyDescent="0.2"/>
    <row r="24" spans="2:9" s="49" customFormat="1" x14ac:dyDescent="0.2"/>
    <row r="25" spans="2:9" s="49" customFormat="1" ht="18.75" x14ac:dyDescent="0.3">
      <c r="E25" s="59"/>
    </row>
    <row r="26" spans="2:9" s="49" customFormat="1" ht="18.75" x14ac:dyDescent="0.3">
      <c r="E26" s="60"/>
    </row>
    <row r="27" spans="2:9" s="49" customFormat="1" x14ac:dyDescent="0.2"/>
    <row r="28" spans="2:9" s="49" customFormat="1" x14ac:dyDescent="0.2"/>
    <row r="29" spans="2:9" s="49" customFormat="1" x14ac:dyDescent="0.2"/>
    <row r="30" spans="2:9" s="49" customFormat="1" x14ac:dyDescent="0.2"/>
    <row r="31" spans="2:9" s="49" customFormat="1" x14ac:dyDescent="0.2"/>
    <row r="32" spans="2:9" s="49" customFormat="1" x14ac:dyDescent="0.2"/>
    <row r="33" spans="1:9" s="49" customFormat="1" ht="35.25" x14ac:dyDescent="0.2">
      <c r="A33" s="61"/>
    </row>
    <row r="34" spans="1:9" s="49" customFormat="1" x14ac:dyDescent="0.2"/>
    <row r="35" spans="1:9" s="49" customFormat="1" x14ac:dyDescent="0.2"/>
    <row r="36" spans="1:9" s="49" customFormat="1" ht="33" x14ac:dyDescent="0.2">
      <c r="B36" s="62"/>
    </row>
    <row r="37" spans="1:9" s="49" customFormat="1" x14ac:dyDescent="0.2"/>
    <row r="38" spans="1:9" s="49" customFormat="1" x14ac:dyDescent="0.2"/>
    <row r="39" spans="1:9" s="49" customFormat="1" ht="18" x14ac:dyDescent="0.25">
      <c r="B39" s="63"/>
    </row>
    <row r="40" spans="1:9" s="49" customFormat="1" x14ac:dyDescent="0.2"/>
    <row r="41" spans="1:9" s="49" customFormat="1" ht="18.75" x14ac:dyDescent="0.3">
      <c r="I41" s="64"/>
    </row>
    <row r="42" spans="1:9" s="49" customFormat="1" x14ac:dyDescent="0.2"/>
    <row r="43" spans="1:9" s="49" customFormat="1" ht="18.75" x14ac:dyDescent="0.3">
      <c r="B43" s="668"/>
      <c r="C43" s="668"/>
      <c r="D43" s="668"/>
    </row>
    <row r="44" spans="1:9" s="49" customFormat="1" x14ac:dyDescent="0.2"/>
    <row r="45" spans="1:9" s="49" customFormat="1" x14ac:dyDescent="0.2"/>
    <row r="46" spans="1:9" s="49" customFormat="1" x14ac:dyDescent="0.2"/>
    <row r="47" spans="1:9" s="49" customFormat="1" x14ac:dyDescent="0.2"/>
    <row r="48" spans="1:9" s="49" customFormat="1" x14ac:dyDescent="0.2"/>
    <row r="49" s="49" customFormat="1" x14ac:dyDescent="0.2"/>
    <row r="50" s="49" customFormat="1" x14ac:dyDescent="0.2"/>
    <row r="51" s="49" customFormat="1" x14ac:dyDescent="0.2"/>
    <row r="52" s="49" customFormat="1" x14ac:dyDescent="0.2"/>
    <row r="53" s="49" customFormat="1" x14ac:dyDescent="0.2"/>
    <row r="54" s="49" customFormat="1" x14ac:dyDescent="0.2"/>
    <row r="55" s="49"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8" x14ac:dyDescent="0.2">
      <c r="A1" s="169" t="s">
        <v>150</v>
      </c>
      <c r="B1" s="420"/>
      <c r="C1" s="247" t="s">
        <v>136</v>
      </c>
      <c r="D1" s="24"/>
      <c r="E1" s="24"/>
      <c r="F1" s="24"/>
      <c r="G1" s="24"/>
      <c r="H1" s="24"/>
      <c r="I1" s="24"/>
      <c r="J1" s="24"/>
      <c r="K1" s="24"/>
      <c r="L1" s="24"/>
      <c r="M1" s="24"/>
      <c r="O1" s="409"/>
    </row>
    <row r="2" spans="1:18" ht="15.75" x14ac:dyDescent="0.25">
      <c r="A2" s="162" t="s">
        <v>29</v>
      </c>
      <c r="B2" s="693"/>
      <c r="C2" s="693"/>
      <c r="D2" s="693"/>
      <c r="E2" s="288"/>
      <c r="F2" s="693"/>
      <c r="G2" s="693"/>
      <c r="H2" s="693"/>
      <c r="I2" s="288"/>
      <c r="J2" s="693"/>
      <c r="K2" s="693"/>
      <c r="L2" s="693"/>
      <c r="M2" s="288"/>
      <c r="O2" s="145"/>
    </row>
    <row r="3" spans="1:18" ht="15.75" x14ac:dyDescent="0.25">
      <c r="A3" s="160"/>
      <c r="B3" s="288"/>
      <c r="C3" s="288"/>
      <c r="D3" s="288"/>
      <c r="E3" s="288"/>
      <c r="F3" s="288"/>
      <c r="G3" s="288"/>
      <c r="H3" s="288"/>
      <c r="I3" s="288"/>
      <c r="J3" s="288"/>
      <c r="K3" s="288"/>
      <c r="L3" s="288"/>
      <c r="M3" s="288"/>
      <c r="O3" s="145"/>
    </row>
    <row r="4" spans="1:18" x14ac:dyDescent="0.2">
      <c r="A4" s="141"/>
      <c r="B4" s="690" t="s">
        <v>0</v>
      </c>
      <c r="C4" s="691"/>
      <c r="D4" s="691"/>
      <c r="E4" s="290"/>
      <c r="F4" s="690" t="s">
        <v>1</v>
      </c>
      <c r="G4" s="691"/>
      <c r="H4" s="691"/>
      <c r="I4" s="293"/>
      <c r="J4" s="690" t="s">
        <v>2</v>
      </c>
      <c r="K4" s="691"/>
      <c r="L4" s="691"/>
      <c r="M4" s="293"/>
      <c r="O4" s="145"/>
    </row>
    <row r="5" spans="1:18"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8" x14ac:dyDescent="0.2">
      <c r="A6" s="421"/>
      <c r="B6" s="153"/>
      <c r="C6" s="153"/>
      <c r="D6" s="245" t="s">
        <v>4</v>
      </c>
      <c r="E6" s="153" t="s">
        <v>31</v>
      </c>
      <c r="F6" s="158"/>
      <c r="G6" s="158"/>
      <c r="H6" s="244" t="s">
        <v>4</v>
      </c>
      <c r="I6" s="153" t="s">
        <v>31</v>
      </c>
      <c r="J6" s="158"/>
      <c r="K6" s="158"/>
      <c r="L6" s="244" t="s">
        <v>4</v>
      </c>
      <c r="M6" s="153" t="s">
        <v>31</v>
      </c>
      <c r="O6" s="145"/>
    </row>
    <row r="7" spans="1:18" ht="15.75" x14ac:dyDescent="0.2">
      <c r="A7" s="14" t="s">
        <v>24</v>
      </c>
      <c r="B7" s="295">
        <v>934743</v>
      </c>
      <c r="C7" s="296">
        <v>661453</v>
      </c>
      <c r="D7" s="336">
        <f t="shared" ref="D7:D12" si="0">IF(B7=0, "    ---- ", IF(ABS(ROUND(100/B7*C7-100,1))&lt;999,ROUND(100/B7*C7-100,1),IF(ROUND(100/B7*C7-100,1)&gt;999,999,-999)))</f>
        <v>-29.2</v>
      </c>
      <c r="E7" s="11">
        <f>IFERROR(100/'Skjema total MA'!C7*C7,0)</f>
        <v>18.075809430214257</v>
      </c>
      <c r="F7" s="295">
        <v>933244</v>
      </c>
      <c r="G7" s="296">
        <v>567608</v>
      </c>
      <c r="H7" s="336">
        <f>IF(F7=0, "    ---- ", IF(ABS(ROUND(100/F7*G7-100,1))&lt;999,ROUND(100/F7*G7-100,1),IF(ROUND(100/F7*G7-100,1)&gt;999,999,-999)))</f>
        <v>-39.200000000000003</v>
      </c>
      <c r="I7" s="157">
        <f>IFERROR(100/'Skjema total MA'!F7*G7,0)</f>
        <v>8.9752893099378639</v>
      </c>
      <c r="J7" s="297">
        <f t="shared" ref="J7:K12" si="1">SUM(B7,F7)</f>
        <v>1867987</v>
      </c>
      <c r="K7" s="298">
        <f t="shared" si="1"/>
        <v>1229061</v>
      </c>
      <c r="L7" s="410">
        <f>IF(J7=0, "    ---- ", IF(ABS(ROUND(100/J7*K7-100,1))&lt;999,ROUND(100/J7*K7-100,1),IF(ROUND(100/J7*K7-100,1)&gt;999,999,-999)))</f>
        <v>-34.200000000000003</v>
      </c>
      <c r="M7" s="11">
        <f>IFERROR(100/'Skjema total MA'!I7*K7,0)</f>
        <v>12.310989119179789</v>
      </c>
      <c r="O7" s="145"/>
    </row>
    <row r="8" spans="1:18" ht="15.75" x14ac:dyDescent="0.2">
      <c r="A8" s="19" t="s">
        <v>26</v>
      </c>
      <c r="B8" s="278">
        <v>136639.71299999999</v>
      </c>
      <c r="C8" s="279">
        <v>137789</v>
      </c>
      <c r="D8" s="163">
        <f t="shared" si="0"/>
        <v>0.8</v>
      </c>
      <c r="E8" s="25">
        <f>IFERROR(100/'Skjema total MA'!C8*C8,0)</f>
        <v>6.9870394394312996</v>
      </c>
      <c r="F8" s="653"/>
      <c r="G8" s="654"/>
      <c r="H8" s="163"/>
      <c r="I8" s="173"/>
      <c r="J8" s="232">
        <f t="shared" si="1"/>
        <v>136639.71299999999</v>
      </c>
      <c r="K8" s="282">
        <f t="shared" si="1"/>
        <v>137789</v>
      </c>
      <c r="L8" s="253"/>
      <c r="M8" s="25">
        <f>IFERROR(100/'Skjema total MA'!I8*K8,0)</f>
        <v>6.9870394394312996</v>
      </c>
      <c r="O8" s="145"/>
    </row>
    <row r="9" spans="1:18" ht="15.75" x14ac:dyDescent="0.2">
      <c r="A9" s="19" t="s">
        <v>25</v>
      </c>
      <c r="B9" s="278">
        <v>60413</v>
      </c>
      <c r="C9" s="279">
        <v>57645.125</v>
      </c>
      <c r="D9" s="163">
        <f t="shared" si="0"/>
        <v>-4.5999999999999996</v>
      </c>
      <c r="E9" s="25">
        <f>IFERROR(100/'Skjema total MA'!C9*C9,0)</f>
        <v>6.4194088189412071</v>
      </c>
      <c r="F9" s="653"/>
      <c r="G9" s="654"/>
      <c r="H9" s="163"/>
      <c r="I9" s="173"/>
      <c r="J9" s="232">
        <f t="shared" si="1"/>
        <v>60413</v>
      </c>
      <c r="K9" s="282">
        <f t="shared" si="1"/>
        <v>57645.125</v>
      </c>
      <c r="L9" s="253"/>
      <c r="M9" s="25">
        <f>IFERROR(100/'Skjema total MA'!I9*K9,0)</f>
        <v>6.4194088189412071</v>
      </c>
      <c r="O9" s="145"/>
    </row>
    <row r="10" spans="1:18" ht="15.75" x14ac:dyDescent="0.2">
      <c r="A10" s="13" t="s">
        <v>398</v>
      </c>
      <c r="B10" s="299">
        <v>18135941</v>
      </c>
      <c r="C10" s="300">
        <v>16047005</v>
      </c>
      <c r="D10" s="168">
        <f t="shared" si="0"/>
        <v>-11.5</v>
      </c>
      <c r="E10" s="11">
        <f>IFERROR(100/'Skjema total MA'!C10*C10,0)</f>
        <v>71.370957089846954</v>
      </c>
      <c r="F10" s="299">
        <v>4879596</v>
      </c>
      <c r="G10" s="300">
        <v>5696768</v>
      </c>
      <c r="H10" s="168">
        <f>IF(F10=0, "    ---- ", IF(ABS(ROUND(100/F10*G10-100,1))&lt;999,ROUND(100/F10*G10-100,1),IF(ROUND(100/F10*G10-100,1)&gt;999,999,-999)))</f>
        <v>16.7</v>
      </c>
      <c r="I10" s="157">
        <f>IFERROR(100/'Skjema total MA'!F10*G10,0)</f>
        <v>14.579574128676093</v>
      </c>
      <c r="J10" s="297">
        <f t="shared" si="1"/>
        <v>23015537</v>
      </c>
      <c r="K10" s="298">
        <f t="shared" si="1"/>
        <v>21743773</v>
      </c>
      <c r="L10" s="411">
        <f>IF(J10=0, "    ---- ", IF(ABS(ROUND(100/J10*K10-100,1))&lt;999,ROUND(100/J10*K10-100,1),IF(ROUND(100/J10*K10-100,1)&gt;999,999,-999)))</f>
        <v>-5.5</v>
      </c>
      <c r="M10" s="11">
        <f>IFERROR(100/'Skjema total MA'!I10*K10,0)</f>
        <v>35.322664872712544</v>
      </c>
      <c r="O10" s="145"/>
      <c r="R10" s="146"/>
    </row>
    <row r="11" spans="1:18" s="41" customFormat="1" ht="15.75" x14ac:dyDescent="0.2">
      <c r="A11" s="13" t="s">
        <v>399</v>
      </c>
      <c r="B11" s="299">
        <v>63032</v>
      </c>
      <c r="C11" s="300">
        <v>85448</v>
      </c>
      <c r="D11" s="168">
        <f t="shared" si="0"/>
        <v>35.6</v>
      </c>
      <c r="E11" s="11">
        <f>IFERROR(100/'Skjema total MA'!C11*C11,0)</f>
        <v>100</v>
      </c>
      <c r="F11" s="299">
        <v>37313</v>
      </c>
      <c r="G11" s="300">
        <v>31193</v>
      </c>
      <c r="H11" s="168">
        <f>IF(F11=0, "    ---- ", IF(ABS(ROUND(100/F11*G11-100,1))&lt;999,ROUND(100/F11*G11-100,1),IF(ROUND(100/F11*G11-100,1)&gt;999,999,-999)))</f>
        <v>-16.399999999999999</v>
      </c>
      <c r="I11" s="157">
        <f>IFERROR(100/'Skjema total MA'!F11*G11,0)</f>
        <v>15.74818290161075</v>
      </c>
      <c r="J11" s="297">
        <f t="shared" si="1"/>
        <v>100345</v>
      </c>
      <c r="K11" s="298">
        <f t="shared" si="1"/>
        <v>116641</v>
      </c>
      <c r="L11" s="411">
        <f>IF(J11=0, "    ---- ", IF(ABS(ROUND(100/J11*K11-100,1))&lt;999,ROUND(100/J11*K11-100,1),IF(ROUND(100/J11*K11-100,1)&gt;999,999,-999)))</f>
        <v>16.2</v>
      </c>
      <c r="M11" s="11">
        <f>IFERROR(100/'Skjema total MA'!I11*K11,0)</f>
        <v>41.140068767716677</v>
      </c>
      <c r="N11" s="140"/>
      <c r="O11" s="145"/>
    </row>
    <row r="12" spans="1:18" s="41" customFormat="1" ht="15.75" x14ac:dyDescent="0.2">
      <c r="A12" s="39" t="s">
        <v>400</v>
      </c>
      <c r="B12" s="301">
        <v>33712</v>
      </c>
      <c r="C12" s="302">
        <v>27591</v>
      </c>
      <c r="D12" s="166">
        <f t="shared" si="0"/>
        <v>-18.2</v>
      </c>
      <c r="E12" s="34">
        <f>IFERROR(100/'Skjema total MA'!C12*C12,0)</f>
        <v>100</v>
      </c>
      <c r="F12" s="301">
        <v>21178</v>
      </c>
      <c r="G12" s="302">
        <v>18925</v>
      </c>
      <c r="H12" s="166">
        <f>IF(F12=0, "    ---- ", IF(ABS(ROUND(100/F12*G12-100,1))&lt;999,ROUND(100/F12*G12-100,1),IF(ROUND(100/F12*G12-100,1)&gt;999,999,-999)))</f>
        <v>-10.6</v>
      </c>
      <c r="I12" s="166">
        <f>IFERROR(100/'Skjema total MA'!F12*G12,0)</f>
        <v>19.058306329113911</v>
      </c>
      <c r="J12" s="303">
        <f t="shared" si="1"/>
        <v>54890</v>
      </c>
      <c r="K12" s="304">
        <f t="shared" si="1"/>
        <v>46516</v>
      </c>
      <c r="L12" s="412">
        <f>IF(J12=0, "    ---- ", IF(ABS(ROUND(100/J12*K12-100,1))&lt;999,ROUND(100/J12*K12-100,1),IF(ROUND(100/J12*K12-100,1)&gt;999,999,-999)))</f>
        <v>-15.3</v>
      </c>
      <c r="M12" s="34">
        <f>IFERROR(100/'Skjema total MA'!I12*K12,0)</f>
        <v>36.658079896556728</v>
      </c>
      <c r="N12" s="140"/>
      <c r="O12" s="145"/>
      <c r="R12" s="140"/>
    </row>
    <row r="13" spans="1:18" s="41" customFormat="1" x14ac:dyDescent="0.2">
      <c r="A13" s="165"/>
      <c r="B13" s="142"/>
      <c r="C13" s="31"/>
      <c r="D13" s="156"/>
      <c r="E13" s="156"/>
      <c r="F13" s="142"/>
      <c r="G13" s="31"/>
      <c r="H13" s="156"/>
      <c r="I13" s="156"/>
      <c r="J13" s="46"/>
      <c r="K13" s="46"/>
      <c r="L13" s="156"/>
      <c r="M13" s="156"/>
      <c r="N13" s="140"/>
      <c r="O13" s="409"/>
    </row>
    <row r="14" spans="1:18" x14ac:dyDescent="0.2">
      <c r="A14" s="150" t="s">
        <v>292</v>
      </c>
      <c r="B14" s="24"/>
      <c r="O14" s="145"/>
    </row>
    <row r="15" spans="1:18" x14ac:dyDescent="0.2">
      <c r="F15" s="143"/>
      <c r="G15" s="143"/>
      <c r="H15" s="143"/>
      <c r="I15" s="143"/>
      <c r="J15" s="143"/>
      <c r="K15" s="143"/>
      <c r="L15" s="143"/>
      <c r="M15" s="143"/>
      <c r="O15" s="145"/>
    </row>
    <row r="16" spans="1:18"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268965</v>
      </c>
      <c r="C22" s="306">
        <v>393293</v>
      </c>
      <c r="D22" s="336">
        <f t="shared" ref="D22:D37" si="2">IF(B22=0, "    ---- ", IF(ABS(ROUND(100/B22*C22-100,1))&lt;999,ROUND(100/B22*C22-100,1),IF(ROUND(100/B22*C22-100,1)&gt;999,999,-999)))</f>
        <v>46.2</v>
      </c>
      <c r="E22" s="11">
        <f>IFERROR(100/'Skjema total MA'!C22*C22,0)</f>
        <v>30.802402885130327</v>
      </c>
      <c r="F22" s="307">
        <v>96063</v>
      </c>
      <c r="G22" s="306">
        <v>110241</v>
      </c>
      <c r="H22" s="336">
        <f>IF(F22=0, "    ---- ", IF(ABS(ROUND(100/F22*G22-100,1))&lt;999,ROUND(100/F22*G22-100,1),IF(ROUND(100/F22*G22-100,1)&gt;999,999,-999)))</f>
        <v>14.8</v>
      </c>
      <c r="I22" s="11">
        <f>IFERROR(100/'Skjema total MA'!F22*G22,0)</f>
        <v>39.692466594019486</v>
      </c>
      <c r="J22" s="305">
        <f>SUM(B22,F22)</f>
        <v>365028</v>
      </c>
      <c r="K22" s="305">
        <f>SUM(C22,G22)</f>
        <v>503534</v>
      </c>
      <c r="L22" s="410">
        <f>IF(J22=0, "    ---- ", IF(ABS(ROUND(100/J22*K22-100,1))&lt;999,ROUND(100/J22*K22-100,1),IF(ROUND(100/J22*K22-100,1)&gt;999,999,-999)))</f>
        <v>37.9</v>
      </c>
      <c r="M22" s="22">
        <f>IFERROR(100/'Skjema total MA'!I22*K22,0)</f>
        <v>32.390698905770165</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186421</v>
      </c>
      <c r="C27" s="282">
        <v>192063</v>
      </c>
      <c r="D27" s="163">
        <f t="shared" si="2"/>
        <v>3</v>
      </c>
      <c r="E27" s="25">
        <f>IFERROR(100/'Skjema total MA'!C27*C27,0)</f>
        <v>14.939008492013603</v>
      </c>
      <c r="F27" s="232"/>
      <c r="G27" s="282"/>
      <c r="H27" s="163"/>
      <c r="I27" s="25"/>
      <c r="J27" s="42">
        <f>SUM(B27,F27)</f>
        <v>186421</v>
      </c>
      <c r="K27" s="42">
        <f>SUM(C27,G27)</f>
        <v>192063</v>
      </c>
      <c r="L27" s="253">
        <f>IF(J27=0, "    ---- ", IF(ABS(ROUND(100/J27*K27-100,1))&lt;999,ROUND(100/J27*K27-100,1),IF(ROUND(100/J27*K27-100,1)&gt;999,999,-999)))</f>
        <v>3</v>
      </c>
      <c r="M27" s="21">
        <f>IFERROR(100/'Skjema total MA'!I27*K27,0)</f>
        <v>14.939008492013603</v>
      </c>
      <c r="O27" s="145"/>
    </row>
    <row r="28" spans="1:15" s="3" customFormat="1" ht="15.75" x14ac:dyDescent="0.2">
      <c r="A28" s="13" t="s">
        <v>398</v>
      </c>
      <c r="B28" s="234">
        <v>29656853</v>
      </c>
      <c r="C28" s="298">
        <v>28777652</v>
      </c>
      <c r="D28" s="168">
        <f t="shared" si="2"/>
        <v>-3</v>
      </c>
      <c r="E28" s="11">
        <f>IFERROR(100/'Skjema total MA'!C28*C28,0)</f>
        <v>56.308294425152788</v>
      </c>
      <c r="F28" s="297">
        <v>5442158</v>
      </c>
      <c r="G28" s="298">
        <v>5627535</v>
      </c>
      <c r="H28" s="168">
        <f>IF(F28=0, "    ---- ", IF(ABS(ROUND(100/F28*G28-100,1))&lt;999,ROUND(100/F28*G28-100,1),IF(ROUND(100/F28*G28-100,1)&gt;999,999,-999)))</f>
        <v>3.4</v>
      </c>
      <c r="I28" s="11">
        <f>IFERROR(100/'Skjema total MA'!F28*G28,0)</f>
        <v>28.803297110577297</v>
      </c>
      <c r="J28" s="234">
        <f>SUM(B28,F28)</f>
        <v>35099011</v>
      </c>
      <c r="K28" s="234">
        <f>SUM(C28,G28)</f>
        <v>34405187</v>
      </c>
      <c r="L28" s="411">
        <f>IF(J28=0, "    ---- ", IF(ABS(ROUND(100/J28*K28-100,1))&lt;999,ROUND(100/J28*K28-100,1),IF(ROUND(100/J28*K28-100,1)&gt;999,999,-999)))</f>
        <v>-2</v>
      </c>
      <c r="M28" s="22">
        <f>IFERROR(100/'Skjema total MA'!I28*K28,0)</f>
        <v>48.701434210242709</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v>22899</v>
      </c>
      <c r="C32" s="298">
        <v>25141</v>
      </c>
      <c r="D32" s="168">
        <f t="shared" si="2"/>
        <v>9.8000000000000007</v>
      </c>
      <c r="E32" s="11">
        <f>IFERROR(100/'Skjema total MA'!C32*C32,0)</f>
        <v>71.948015314441136</v>
      </c>
      <c r="F32" s="297">
        <v>-55398</v>
      </c>
      <c r="G32" s="298">
        <v>-67687</v>
      </c>
      <c r="H32" s="168">
        <f>IF(F32=0, "    ---- ", IF(ABS(ROUND(100/F32*G32-100,1))&lt;999,ROUND(100/F32*G32-100,1),IF(ROUND(100/F32*G32-100,1)&gt;999,999,-999)))</f>
        <v>22.2</v>
      </c>
      <c r="I32" s="11">
        <f>IFERROR(100/'Skjema total MA'!F32*G32,0)</f>
        <v>-880.20341186540929</v>
      </c>
      <c r="J32" s="234">
        <f t="shared" ref="J32:K37" si="3">SUM(B32,F32)</f>
        <v>-32499</v>
      </c>
      <c r="K32" s="234">
        <f t="shared" si="3"/>
        <v>-42546</v>
      </c>
      <c r="L32" s="411">
        <f>IF(J32=0, "    ---- ", IF(ABS(ROUND(100/J32*K32-100,1))&lt;999,ROUND(100/J32*K32-100,1),IF(ROUND(100/J32*K32-100,1)&gt;999,999,-999)))</f>
        <v>30.9</v>
      </c>
      <c r="M32" s="22">
        <f>IFERROR(100/'Skjema total MA'!I32*K32,0)</f>
        <v>-99.795436571652573</v>
      </c>
      <c r="O32" s="145"/>
    </row>
    <row r="33" spans="1:15" ht="15.75" x14ac:dyDescent="0.2">
      <c r="A33" s="13" t="s">
        <v>400</v>
      </c>
      <c r="B33" s="234">
        <v>-59208</v>
      </c>
      <c r="C33" s="298">
        <v>-62183</v>
      </c>
      <c r="D33" s="168">
        <f t="shared" si="2"/>
        <v>5</v>
      </c>
      <c r="E33" s="11">
        <f>IFERROR(100/'Skjema total MA'!C33*C33,0)</f>
        <v>108.43829171087479</v>
      </c>
      <c r="F33" s="297">
        <v>47352</v>
      </c>
      <c r="G33" s="298">
        <v>16658</v>
      </c>
      <c r="H33" s="168">
        <f>IF(F33=0, "    ---- ", IF(ABS(ROUND(100/F33*G33-100,1))&lt;999,ROUND(100/F33*G33-100,1),IF(ROUND(100/F33*G33-100,1)&gt;999,999,-999)))</f>
        <v>-64.8</v>
      </c>
      <c r="I33" s="11">
        <f>IFERROR(100/'Skjema total MA'!F33*G33,0)</f>
        <v>20.312441846787085</v>
      </c>
      <c r="J33" s="234">
        <f t="shared" si="3"/>
        <v>-11856</v>
      </c>
      <c r="K33" s="234">
        <f t="shared" si="3"/>
        <v>-45525</v>
      </c>
      <c r="L33" s="411">
        <f>IF(J33=0, "    ---- ", IF(ABS(ROUND(100/J33*K33-100,1))&lt;999,ROUND(100/J33*K33-100,1),IF(ROUND(100/J33*K33-100,1)&gt;999,999,-999)))</f>
        <v>284</v>
      </c>
      <c r="M33" s="22">
        <f>IFERROR(100/'Skjema total MA'!I33*K33,0)</f>
        <v>-184.57541075074391</v>
      </c>
      <c r="O33" s="145"/>
    </row>
    <row r="34" spans="1:15" ht="15.75" x14ac:dyDescent="0.2">
      <c r="A34" s="12" t="s">
        <v>301</v>
      </c>
      <c r="B34" s="234">
        <v>3939</v>
      </c>
      <c r="C34" s="298">
        <v>3108</v>
      </c>
      <c r="D34" s="168">
        <f t="shared" si="2"/>
        <v>-21.1</v>
      </c>
      <c r="E34" s="11">
        <f>100/'Skjema total MA'!C34*C34</f>
        <v>98.536348435687898</v>
      </c>
      <c r="F34" s="655"/>
      <c r="G34" s="656"/>
      <c r="H34" s="168"/>
      <c r="I34" s="417"/>
      <c r="J34" s="234">
        <f t="shared" si="3"/>
        <v>3939</v>
      </c>
      <c r="K34" s="234">
        <f t="shared" si="3"/>
        <v>3108</v>
      </c>
      <c r="L34" s="411"/>
      <c r="M34" s="22">
        <f>IFERROR(100/'Skjema total MA'!I34*K34,0)</f>
        <v>98.536348435687898</v>
      </c>
      <c r="O34" s="145"/>
    </row>
    <row r="35" spans="1:15" ht="15.75" x14ac:dyDescent="0.2">
      <c r="A35" s="12" t="s">
        <v>404</v>
      </c>
      <c r="B35" s="234">
        <v>3695330</v>
      </c>
      <c r="C35" s="298">
        <v>3574396</v>
      </c>
      <c r="D35" s="168">
        <f t="shared" si="2"/>
        <v>-3.3</v>
      </c>
      <c r="E35" s="11">
        <f>100/'Skjema total MA'!C35*C35</f>
        <v>87.969205951221696</v>
      </c>
      <c r="F35" s="655"/>
      <c r="G35" s="657"/>
      <c r="H35" s="168"/>
      <c r="I35" s="417"/>
      <c r="J35" s="234">
        <f t="shared" si="3"/>
        <v>3695330</v>
      </c>
      <c r="K35" s="234">
        <f t="shared" si="3"/>
        <v>3574396</v>
      </c>
      <c r="L35" s="411"/>
      <c r="M35" s="22">
        <f>IFERROR(100/'Skjema total MA'!I35*K35,0)</f>
        <v>87.969205951221696</v>
      </c>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v>13</v>
      </c>
      <c r="C37" s="304">
        <v>4</v>
      </c>
      <c r="D37" s="166">
        <f t="shared" si="2"/>
        <v>-69.2</v>
      </c>
      <c r="E37" s="34">
        <f>IFERROR(100/'Skjema total MA'!C36*C37,0)</f>
        <v>0</v>
      </c>
      <c r="F37" s="658"/>
      <c r="G37" s="659"/>
      <c r="H37" s="166"/>
      <c r="I37" s="34"/>
      <c r="J37" s="234">
        <f t="shared" si="3"/>
        <v>13</v>
      </c>
      <c r="K37" s="234">
        <f t="shared" si="3"/>
        <v>4</v>
      </c>
      <c r="L37" s="412"/>
      <c r="M37" s="34">
        <f>IFERROR(100/'Skjema total MA'!I37*K37,0)</f>
        <v>100</v>
      </c>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451203</v>
      </c>
      <c r="C45" s="300">
        <v>449926.29299999995</v>
      </c>
      <c r="D45" s="410">
        <f t="shared" ref="D45:D55" si="4">IF(B45=0, "    ---- ", IF(ABS(ROUND(100/B45*C45-100,1))&lt;999,ROUND(100/B45*C45-100,1),IF(ROUND(100/B45*C45-100,1)&gt;999,999,-999)))</f>
        <v>-0.3</v>
      </c>
      <c r="E45" s="11">
        <f>IFERROR(100/'Skjema total MA'!C45*C45,0)</f>
        <v>13.477756299183907</v>
      </c>
      <c r="F45" s="142"/>
      <c r="G45" s="31"/>
      <c r="H45" s="156"/>
      <c r="I45" s="156"/>
      <c r="J45" s="35"/>
      <c r="K45" s="35"/>
      <c r="L45" s="156"/>
      <c r="M45" s="156"/>
      <c r="N45" s="145"/>
      <c r="O45" s="145"/>
    </row>
    <row r="46" spans="1:15" s="3" customFormat="1" ht="15.75" x14ac:dyDescent="0.2">
      <c r="A46" s="36" t="s">
        <v>407</v>
      </c>
      <c r="B46" s="278">
        <v>301475</v>
      </c>
      <c r="C46" s="279">
        <v>277581.72499999998</v>
      </c>
      <c r="D46" s="253">
        <f t="shared" si="4"/>
        <v>-7.9</v>
      </c>
      <c r="E46" s="25">
        <f>IFERROR(100/'Skjema total MA'!C46*C46,0)</f>
        <v>15.251017695927038</v>
      </c>
      <c r="F46" s="142"/>
      <c r="G46" s="31"/>
      <c r="H46" s="142"/>
      <c r="I46" s="142"/>
      <c r="J46" s="31"/>
      <c r="K46" s="31"/>
      <c r="L46" s="156"/>
      <c r="M46" s="156"/>
      <c r="N46" s="145"/>
      <c r="O46" s="145"/>
    </row>
    <row r="47" spans="1:15" s="3" customFormat="1" ht="15.75" x14ac:dyDescent="0.2">
      <c r="A47" s="36" t="s">
        <v>408</v>
      </c>
      <c r="B47" s="42">
        <v>149728</v>
      </c>
      <c r="C47" s="282">
        <v>172344.568</v>
      </c>
      <c r="D47" s="253">
        <f>IF(B47=0, "    ---- ", IF(ABS(ROUND(100/B47*C47-100,1))&lt;999,ROUND(100/B47*C47-100,1),IF(ROUND(100/B47*C47-100,1)&gt;999,999,-999)))</f>
        <v>15.1</v>
      </c>
      <c r="E47" s="25">
        <f>IFERROR(100/'Skjema total MA'!C47*C47,0)</f>
        <v>11.351892340890561</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23230</v>
      </c>
      <c r="C51" s="300">
        <v>20259</v>
      </c>
      <c r="D51" s="411">
        <f t="shared" si="4"/>
        <v>-12.8</v>
      </c>
      <c r="E51" s="11">
        <f>IFERROR(100/'Skjema total MA'!C51*C51,0)</f>
        <v>13.343844885282323</v>
      </c>
      <c r="F51" s="142"/>
      <c r="G51" s="31"/>
      <c r="H51" s="142"/>
      <c r="I51" s="142"/>
      <c r="J51" s="31"/>
      <c r="K51" s="31"/>
      <c r="L51" s="156"/>
      <c r="M51" s="156"/>
      <c r="N51" s="145"/>
      <c r="O51" s="145"/>
    </row>
    <row r="52" spans="1:15" s="3" customFormat="1" ht="15.75" x14ac:dyDescent="0.2">
      <c r="A52" s="36" t="s">
        <v>407</v>
      </c>
      <c r="B52" s="278">
        <v>23230</v>
      </c>
      <c r="C52" s="279">
        <v>20259</v>
      </c>
      <c r="D52" s="253">
        <f t="shared" si="4"/>
        <v>-12.8</v>
      </c>
      <c r="E52" s="25">
        <f>IFERROR(100/'Skjema total MA'!C52*C52,0)</f>
        <v>21.444016055734664</v>
      </c>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v>17081</v>
      </c>
      <c r="C54" s="300">
        <v>41826</v>
      </c>
      <c r="D54" s="411">
        <f t="shared" si="4"/>
        <v>144.9</v>
      </c>
      <c r="E54" s="11">
        <f>IFERROR(100/'Skjema total MA'!C54*C54,0)</f>
        <v>37.276498422593448</v>
      </c>
      <c r="F54" s="142"/>
      <c r="G54" s="31"/>
      <c r="H54" s="142"/>
      <c r="I54" s="142"/>
      <c r="J54" s="31"/>
      <c r="K54" s="31"/>
      <c r="L54" s="156"/>
      <c r="M54" s="156"/>
      <c r="N54" s="145"/>
      <c r="O54" s="145"/>
    </row>
    <row r="55" spans="1:15" s="3" customFormat="1" ht="15.75" x14ac:dyDescent="0.2">
      <c r="A55" s="36" t="s">
        <v>407</v>
      </c>
      <c r="B55" s="278">
        <v>17081</v>
      </c>
      <c r="C55" s="279">
        <v>41826</v>
      </c>
      <c r="D55" s="253">
        <f t="shared" si="4"/>
        <v>144.9</v>
      </c>
      <c r="E55" s="25">
        <f>IFERROR(100/'Skjema total MA'!C55*C55,0)</f>
        <v>37.276498422593448</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3944883</v>
      </c>
      <c r="C64" s="338">
        <v>2479523</v>
      </c>
      <c r="D64" s="336">
        <f>IF(B64=0, "    ---- ", IF(ABS(ROUND(100/B64*C64-100,1))&lt;999,ROUND(100/B64*C64-100,1),IF(ROUND(100/B64*C64-100,1)&gt;999,999,-999)))</f>
        <v>-37.1</v>
      </c>
      <c r="E64" s="11">
        <f>IFERROR(100/'Skjema total MA'!C64*C64,0)</f>
        <v>36.530003310509557</v>
      </c>
      <c r="F64" s="337">
        <v>4816329</v>
      </c>
      <c r="G64" s="337">
        <v>5581042</v>
      </c>
      <c r="H64" s="336">
        <f>IF(F64=0, "    ---- ", IF(ABS(ROUND(100/F64*G64-100,1))&lt;999,ROUND(100/F64*G64-100,1),IF(ROUND(100/F64*G64-100,1)&gt;999,999,-999)))</f>
        <v>15.9</v>
      </c>
      <c r="I64" s="11">
        <f>IFERROR(100/'Skjema total MA'!F64*G64,0)</f>
        <v>28.351945966574625</v>
      </c>
      <c r="J64" s="298">
        <f t="shared" ref="J64:K66" si="5">SUM(B64,F64)</f>
        <v>8761212</v>
      </c>
      <c r="K64" s="305">
        <f t="shared" si="5"/>
        <v>8060565</v>
      </c>
      <c r="L64" s="411">
        <f>IF(J64=0, "    ---- ", IF(ABS(ROUND(100/J64*K64-100,1))&lt;999,ROUND(100/J64*K64-100,1),IF(ROUND(100/J64*K64-100,1)&gt;999,999,-999)))</f>
        <v>-8</v>
      </c>
      <c r="M64" s="11">
        <f>IFERROR(100/'Skjema total MA'!I64*K64,0)</f>
        <v>30.448826335317893</v>
      </c>
      <c r="O64" s="145"/>
    </row>
    <row r="65" spans="1:15" x14ac:dyDescent="0.2">
      <c r="A65" s="402" t="s">
        <v>9</v>
      </c>
      <c r="B65" s="42">
        <v>3944883</v>
      </c>
      <c r="C65" s="142">
        <v>2479523</v>
      </c>
      <c r="D65" s="163">
        <f>IF(B65=0, "    ---- ", IF(ABS(ROUND(100/B65*C65-100,1))&lt;999,ROUND(100/B65*C65-100,1),IF(ROUND(100/B65*C65-100,1)&gt;999,999,-999)))</f>
        <v>-37.1</v>
      </c>
      <c r="E65" s="25">
        <f>IFERROR(100/'Skjema total MA'!C65*C65,0)</f>
        <v>38.422534246142185</v>
      </c>
      <c r="F65" s="232"/>
      <c r="G65" s="142"/>
      <c r="H65" s="163"/>
      <c r="I65" s="25"/>
      <c r="J65" s="282">
        <f t="shared" si="5"/>
        <v>3944883</v>
      </c>
      <c r="K65" s="42">
        <f t="shared" si="5"/>
        <v>2479523</v>
      </c>
      <c r="L65" s="253">
        <f>IF(J65=0, "    ---- ", IF(ABS(ROUND(100/J65*K65-100,1))&lt;999,ROUND(100/J65*K65-100,1),IF(ROUND(100/J65*K65-100,1)&gt;999,999,-999)))</f>
        <v>-37.1</v>
      </c>
      <c r="M65" s="25">
        <f>IFERROR(100/'Skjema total MA'!I65*K65,0)</f>
        <v>38.422534246142185</v>
      </c>
      <c r="O65" s="145"/>
    </row>
    <row r="66" spans="1:15" x14ac:dyDescent="0.2">
      <c r="A66" s="19" t="s">
        <v>10</v>
      </c>
      <c r="B66" s="284"/>
      <c r="C66" s="285"/>
      <c r="D66" s="163"/>
      <c r="E66" s="25"/>
      <c r="F66" s="284">
        <v>4816329</v>
      </c>
      <c r="G66" s="285">
        <v>5581042</v>
      </c>
      <c r="H66" s="163">
        <f>IF(F66=0, "    ---- ", IF(ABS(ROUND(100/F66*G66-100,1))&lt;999,ROUND(100/F66*G66-100,1),IF(ROUND(100/F66*G66-100,1)&gt;999,999,-999)))</f>
        <v>15.9</v>
      </c>
      <c r="I66" s="25">
        <f>IFERROR(100/'Skjema total MA'!F66*G66,0)</f>
        <v>28.676260204864771</v>
      </c>
      <c r="J66" s="282">
        <f t="shared" si="5"/>
        <v>4816329</v>
      </c>
      <c r="K66" s="42">
        <f t="shared" si="5"/>
        <v>5581042</v>
      </c>
      <c r="L66" s="253">
        <f>IF(J66=0, "    ---- ", IF(ABS(ROUND(100/J66*K66-100,1))&lt;999,ROUND(100/J66*K66-100,1),IF(ROUND(100/J66*K66-100,1)&gt;999,999,-999)))</f>
        <v>15.9</v>
      </c>
      <c r="M66" s="25">
        <f>IFERROR(100/'Skjema total MA'!I66*K66,0)</f>
        <v>28.474430338309208</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v>0</v>
      </c>
      <c r="C74" s="142">
        <v>27038</v>
      </c>
      <c r="D74" s="163" t="str">
        <f>IF(B74=0, "    ---- ", IF(ABS(ROUND(100/B74*C74-100,1))&lt;999,ROUND(100/B74*C74-100,1),IF(ROUND(100/B74*C74-100,1)&gt;999,999,-999)))</f>
        <v xml:space="preserve">    ---- </v>
      </c>
      <c r="E74" s="25">
        <f>IFERROR(100/'Skjema total MA'!C75*C74,0)</f>
        <v>0.42330338527592276</v>
      </c>
      <c r="F74" s="232"/>
      <c r="G74" s="142"/>
      <c r="H74" s="163"/>
      <c r="I74" s="25"/>
      <c r="J74" s="282">
        <f t="shared" ref="J74:K77" si="6">SUM(B74,F74)</f>
        <v>0</v>
      </c>
      <c r="K74" s="42">
        <f t="shared" si="6"/>
        <v>27038</v>
      </c>
      <c r="L74" s="253" t="str">
        <f>IF(J74=0, "    ---- ", IF(ABS(ROUND(100/J74*K74-100,1))&lt;999,ROUND(100/J74*K74-100,1),IF(ROUND(100/J74*K74-100,1)&gt;999,999,-999)))</f>
        <v xml:space="preserve">    ---- </v>
      </c>
      <c r="M74" s="25">
        <f>IFERROR(100/'Skjema total MA'!I75*K74,0)</f>
        <v>0.1046366081624064</v>
      </c>
      <c r="N74" s="145"/>
      <c r="O74" s="145"/>
    </row>
    <row r="75" spans="1:15" ht="15.75" x14ac:dyDescent="0.2">
      <c r="A75" s="19" t="s">
        <v>413</v>
      </c>
      <c r="B75" s="232">
        <v>3912498</v>
      </c>
      <c r="C75" s="232">
        <v>2447735.341</v>
      </c>
      <c r="D75" s="163">
        <f>IF(B75=0, "    ---- ", IF(ABS(ROUND(100/B75*C75-100,1))&lt;999,ROUND(100/B75*C75-100,1),IF(ROUND(100/B75*C75-100,1)&gt;999,999,-999)))</f>
        <v>-37.4</v>
      </c>
      <c r="E75" s="25">
        <f>IFERROR(100/'Skjema total MA'!C75*C75,0)</f>
        <v>38.321423777824364</v>
      </c>
      <c r="F75" s="232">
        <v>4816329</v>
      </c>
      <c r="G75" s="142">
        <v>5581042</v>
      </c>
      <c r="H75" s="163">
        <f>IF(F75=0, "    ---- ", IF(ABS(ROUND(100/F75*G75-100,1))&lt;999,ROUND(100/F75*G75-100,1),IF(ROUND(100/F75*G75-100,1)&gt;999,999,-999)))</f>
        <v>15.9</v>
      </c>
      <c r="I75" s="25">
        <f>IFERROR(100/'Skjema total MA'!F75*G75,0)</f>
        <v>28.690580406711589</v>
      </c>
      <c r="J75" s="282">
        <f t="shared" si="6"/>
        <v>8728827</v>
      </c>
      <c r="K75" s="42">
        <f t="shared" si="6"/>
        <v>8028777.341</v>
      </c>
      <c r="L75" s="253">
        <f>IF(J75=0, "    ---- ", IF(ABS(ROUND(100/J75*K75-100,1))&lt;999,ROUND(100/J75*K75-100,1),IF(ROUND(100/J75*K75-100,1)&gt;999,999,-999)))</f>
        <v>-8</v>
      </c>
      <c r="M75" s="25">
        <f>IFERROR(100/'Skjema total MA'!I75*K75,0)</f>
        <v>31.071234139116211</v>
      </c>
      <c r="O75" s="145"/>
    </row>
    <row r="76" spans="1:15" x14ac:dyDescent="0.2">
      <c r="A76" s="19" t="s">
        <v>9</v>
      </c>
      <c r="B76" s="232">
        <v>3912498</v>
      </c>
      <c r="C76" s="142">
        <v>2447735.341</v>
      </c>
      <c r="D76" s="163">
        <f>IF(B76=0, "    ---- ", IF(ABS(ROUND(100/B76*C76-100,1))&lt;999,ROUND(100/B76*C76-100,1),IF(ROUND(100/B76*C76-100,1)&gt;999,999,-999)))</f>
        <v>-37.4</v>
      </c>
      <c r="E76" s="25">
        <f>IFERROR(100/'Skjema total MA'!C76*C76,0)</f>
        <v>39.147802268162053</v>
      </c>
      <c r="F76" s="232"/>
      <c r="G76" s="142"/>
      <c r="H76" s="163"/>
      <c r="I76" s="25"/>
      <c r="J76" s="282">
        <f t="shared" si="6"/>
        <v>3912498</v>
      </c>
      <c r="K76" s="42">
        <f t="shared" si="6"/>
        <v>2447735.341</v>
      </c>
      <c r="L76" s="253">
        <f>IF(J76=0, "    ---- ", IF(ABS(ROUND(100/J76*K76-100,1))&lt;999,ROUND(100/J76*K76-100,1),IF(ROUND(100/J76*K76-100,1)&gt;999,999,-999)))</f>
        <v>-37.4</v>
      </c>
      <c r="M76" s="25">
        <f>IFERROR(100/'Skjema total MA'!I76*K76,0)</f>
        <v>39.147802268162053</v>
      </c>
      <c r="O76" s="145"/>
    </row>
    <row r="77" spans="1:15" x14ac:dyDescent="0.2">
      <c r="A77" s="19" t="s">
        <v>10</v>
      </c>
      <c r="B77" s="284"/>
      <c r="C77" s="285"/>
      <c r="D77" s="163"/>
      <c r="E77" s="25"/>
      <c r="F77" s="284">
        <v>4816329</v>
      </c>
      <c r="G77" s="285">
        <v>5581042</v>
      </c>
      <c r="H77" s="163">
        <f>IF(F77=0, "    ---- ", IF(ABS(ROUND(100/F77*G77-100,1))&lt;999,ROUND(100/F77*G77-100,1),IF(ROUND(100/F77*G77-100,1)&gt;999,999,-999)))</f>
        <v>15.9</v>
      </c>
      <c r="I77" s="25">
        <f>IFERROR(100/'Skjema total MA'!F77*G77,0)</f>
        <v>28.690580406711589</v>
      </c>
      <c r="J77" s="282">
        <f t="shared" si="6"/>
        <v>4816329</v>
      </c>
      <c r="K77" s="42">
        <f t="shared" si="6"/>
        <v>5581042</v>
      </c>
      <c r="L77" s="253">
        <f>IF(J77=0, "    ---- ", IF(ABS(ROUND(100/J77*K77-100,1))&lt;999,ROUND(100/J77*K77-100,1),IF(ROUND(100/J77*K77-100,1)&gt;999,999,-999)))</f>
        <v>15.9</v>
      </c>
      <c r="M77" s="25">
        <f>IFERROR(100/'Skjema total MA'!I77*K77,0)</f>
        <v>28.49308456735352</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v>32385</v>
      </c>
      <c r="C84" s="142">
        <v>31787.659</v>
      </c>
      <c r="D84" s="163">
        <f>IF(B84=0, "    ---- ", IF(ABS(ROUND(100/B84*C84-100,1))&lt;999,ROUND(100/B84*C84-100,1),IF(ROUND(100/B84*C84-100,1)&gt;999,999,-999)))</f>
        <v>-1.8</v>
      </c>
      <c r="E84" s="25">
        <f>IFERROR(100/'Skjema total MA'!C84*C84,0)</f>
        <v>15.591844855771265</v>
      </c>
      <c r="F84" s="232"/>
      <c r="G84" s="142"/>
      <c r="H84" s="163"/>
      <c r="I84" s="25"/>
      <c r="J84" s="282">
        <f t="shared" ref="J84:K87" si="7">SUM(B84,F84)</f>
        <v>32385</v>
      </c>
      <c r="K84" s="42">
        <f t="shared" si="7"/>
        <v>31787.659</v>
      </c>
      <c r="L84" s="253">
        <f>IF(J84=0, "    ---- ", IF(ABS(ROUND(100/J84*K84-100,1))&lt;999,ROUND(100/J84*K84-100,1),IF(ROUND(100/J84*K84-100,1)&gt;999,999,-999)))</f>
        <v>-1.8</v>
      </c>
      <c r="M84" s="25">
        <f>IFERROR(100/'Skjema total MA'!I84*K84,0)</f>
        <v>14.882718214034977</v>
      </c>
      <c r="O84" s="145"/>
    </row>
    <row r="85" spans="1:15" ht="15.75" x14ac:dyDescent="0.2">
      <c r="A85" s="13" t="s">
        <v>398</v>
      </c>
      <c r="B85" s="338">
        <v>151574187</v>
      </c>
      <c r="C85" s="338">
        <v>154563971</v>
      </c>
      <c r="D85" s="168">
        <f>IF(B85=0, "    ---- ", IF(ABS(ROUND(100/B85*C85-100,1))&lt;999,ROUND(100/B85*C85-100,1),IF(ROUND(100/B85*C85-100,1)&gt;999,999,-999)))</f>
        <v>2</v>
      </c>
      <c r="E85" s="11">
        <f>IFERROR(100/'Skjema total MA'!C85*C85,0)</f>
        <v>41.143418556947864</v>
      </c>
      <c r="F85" s="337">
        <v>46094977</v>
      </c>
      <c r="G85" s="337">
        <v>59365458</v>
      </c>
      <c r="H85" s="168">
        <f>IF(F85=0, "    ---- ", IF(ABS(ROUND(100/F85*G85-100,1))&lt;999,ROUND(100/F85*G85-100,1),IF(ROUND(100/F85*G85-100,1)&gt;999,999,-999)))</f>
        <v>28.8</v>
      </c>
      <c r="I85" s="11">
        <f>IFERROR(100/'Skjema total MA'!F85*G85,0)</f>
        <v>28.198307018318676</v>
      </c>
      <c r="J85" s="298">
        <f t="shared" si="7"/>
        <v>197669164</v>
      </c>
      <c r="K85" s="234">
        <f t="shared" si="7"/>
        <v>213929429</v>
      </c>
      <c r="L85" s="411">
        <f>IF(J85=0, "    ---- ", IF(ABS(ROUND(100/J85*K85-100,1))&lt;999,ROUND(100/J85*K85-100,1),IF(ROUND(100/J85*K85-100,1)&gt;999,999,-999)))</f>
        <v>8.1999999999999993</v>
      </c>
      <c r="M85" s="11">
        <f>IFERROR(100/'Skjema total MA'!I85*K85,0)</f>
        <v>36.494295543542449</v>
      </c>
      <c r="O85" s="145"/>
    </row>
    <row r="86" spans="1:15" x14ac:dyDescent="0.2">
      <c r="A86" s="19" t="s">
        <v>9</v>
      </c>
      <c r="B86" s="232">
        <v>151475483</v>
      </c>
      <c r="C86" s="142">
        <v>154467478</v>
      </c>
      <c r="D86" s="163">
        <f>IF(B86=0, "    ---- ", IF(ABS(ROUND(100/B86*C86-100,1))&lt;999,ROUND(100/B86*C86-100,1),IF(ROUND(100/B86*C86-100,1)&gt;999,999,-999)))</f>
        <v>2</v>
      </c>
      <c r="E86" s="25">
        <f>IFERROR(100/'Skjema total MA'!C86*C86,0)</f>
        <v>41.429771738440714</v>
      </c>
      <c r="F86" s="232"/>
      <c r="G86" s="142"/>
      <c r="H86" s="163"/>
      <c r="I86" s="25"/>
      <c r="J86" s="282">
        <f t="shared" si="7"/>
        <v>151475483</v>
      </c>
      <c r="K86" s="42">
        <f t="shared" si="7"/>
        <v>154467478</v>
      </c>
      <c r="L86" s="253">
        <f>IF(J86=0, "    ---- ", IF(ABS(ROUND(100/J86*K86-100,1))&lt;999,ROUND(100/J86*K86-100,1),IF(ROUND(100/J86*K86-100,1)&gt;999,999,-999)))</f>
        <v>2</v>
      </c>
      <c r="M86" s="25">
        <f>IFERROR(100/'Skjema total MA'!I86*K86,0)</f>
        <v>41.429771738440714</v>
      </c>
      <c r="O86" s="145"/>
    </row>
    <row r="87" spans="1:15" x14ac:dyDescent="0.2">
      <c r="A87" s="19" t="s">
        <v>10</v>
      </c>
      <c r="B87" s="232">
        <v>98704</v>
      </c>
      <c r="C87" s="142">
        <v>96493</v>
      </c>
      <c r="D87" s="163">
        <f>IF(B87=0, "    ---- ", IF(ABS(ROUND(100/B87*C87-100,1))&lt;999,ROUND(100/B87*C87-100,1),IF(ROUND(100/B87*C87-100,1)&gt;999,999,-999)))</f>
        <v>-2.2000000000000002</v>
      </c>
      <c r="E87" s="25">
        <f>IFERROR(100/'Skjema total MA'!C87*C87,0)</f>
        <v>3.85658132968666</v>
      </c>
      <c r="F87" s="232">
        <v>46094977</v>
      </c>
      <c r="G87" s="142">
        <v>59365458</v>
      </c>
      <c r="H87" s="163">
        <f>IF(F87=0, "    ---- ", IF(ABS(ROUND(100/F87*G87-100,1))&lt;999,ROUND(100/F87*G87-100,1),IF(ROUND(100/F87*G87-100,1)&gt;999,999,-999)))</f>
        <v>28.8</v>
      </c>
      <c r="I87" s="25">
        <f>IFERROR(100/'Skjema total MA'!F87*G87,0)</f>
        <v>28.281095704125374</v>
      </c>
      <c r="J87" s="282">
        <f t="shared" si="7"/>
        <v>46193681</v>
      </c>
      <c r="K87" s="42">
        <f t="shared" si="7"/>
        <v>59461951</v>
      </c>
      <c r="L87" s="253">
        <f>IF(J87=0, "    ---- ", IF(ABS(ROUND(100/J87*K87-100,1))&lt;999,ROUND(100/J87*K87-100,1),IF(ROUND(100/J87*K87-100,1)&gt;999,999,-999)))</f>
        <v>28.7</v>
      </c>
      <c r="M87" s="25">
        <f>IFERROR(100/'Skjema total MA'!I87*K87,0)</f>
        <v>27.993398445854989</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v>0</v>
      </c>
      <c r="C95" s="142">
        <v>769829</v>
      </c>
      <c r="D95" s="163" t="str">
        <f>IF(B95=0, "    ---- ", IF(ABS(ROUND(100/B95*C95-100,1))&lt;999,ROUND(100/B95*C95-100,1),IF(ROUND(100/B95*C95-100,1)&gt;999,999,-999)))</f>
        <v xml:space="preserve">    ---- </v>
      </c>
      <c r="E95" s="25">
        <f>IFERROR(100/'Skjema total MA'!C96*C95,0)</f>
        <v>0.20780466846076812</v>
      </c>
      <c r="F95" s="232"/>
      <c r="G95" s="142"/>
      <c r="H95" s="163"/>
      <c r="I95" s="25"/>
      <c r="J95" s="282">
        <f t="shared" ref="J95:K98" si="8">SUM(B95,F95)</f>
        <v>0</v>
      </c>
      <c r="K95" s="42">
        <f t="shared" si="8"/>
        <v>769829</v>
      </c>
      <c r="L95" s="253" t="str">
        <f>IF(J95=0, "    ---- ", IF(ABS(ROUND(100/J95*K95-100,1))&lt;999,ROUND(100/J95*K95-100,1),IF(ROUND(100/J95*K95-100,1)&gt;999,999,-999)))</f>
        <v xml:space="preserve">    ---- </v>
      </c>
      <c r="M95" s="25">
        <f>IFERROR(100/'Skjema total MA'!I96*K95,0)</f>
        <v>0.13277020618230514</v>
      </c>
      <c r="O95" s="145"/>
    </row>
    <row r="96" spans="1:15" ht="15.75" x14ac:dyDescent="0.2">
      <c r="A96" s="19" t="s">
        <v>413</v>
      </c>
      <c r="B96" s="232">
        <v>150255420.229</v>
      </c>
      <c r="C96" s="232">
        <v>153200583</v>
      </c>
      <c r="D96" s="163">
        <f>IF(B96=0, "    ---- ", IF(ABS(ROUND(100/B96*C96-100,1))&lt;999,ROUND(100/B96*C96-100,1),IF(ROUND(100/B96*C96-100,1)&gt;999,999,-999)))</f>
        <v>2</v>
      </c>
      <c r="E96" s="25">
        <f>IFERROR(100/'Skjema total MA'!C96*C96,0)</f>
        <v>41.354373969168982</v>
      </c>
      <c r="F96" s="284">
        <v>45932058</v>
      </c>
      <c r="G96" s="284">
        <v>59226369</v>
      </c>
      <c r="H96" s="163">
        <f>IF(F96=0, "    ---- ", IF(ABS(ROUND(100/F96*G96-100,1))&lt;999,ROUND(100/F96*G96-100,1),IF(ROUND(100/F96*G96-100,1)&gt;999,999,-999)))</f>
        <v>28.9</v>
      </c>
      <c r="I96" s="25">
        <f>IFERROR(100/'Skjema total MA'!F96*G96,0)</f>
        <v>28.288895799670524</v>
      </c>
      <c r="J96" s="282">
        <f t="shared" si="8"/>
        <v>196187478.229</v>
      </c>
      <c r="K96" s="42">
        <f t="shared" si="8"/>
        <v>212426952</v>
      </c>
      <c r="L96" s="253">
        <f>IF(J96=0, "    ---- ", IF(ABS(ROUND(100/J96*K96-100,1))&lt;999,ROUND(100/J96*K96-100,1),IF(ROUND(100/J96*K96-100,1)&gt;999,999,-999)))</f>
        <v>8.3000000000000007</v>
      </c>
      <c r="M96" s="25">
        <f>IFERROR(100/'Skjema total MA'!I96*K96,0)</f>
        <v>36.636668942997268</v>
      </c>
      <c r="O96" s="145"/>
    </row>
    <row r="97" spans="1:15" x14ac:dyDescent="0.2">
      <c r="A97" s="19" t="s">
        <v>9</v>
      </c>
      <c r="B97" s="284">
        <v>150156716.229</v>
      </c>
      <c r="C97" s="285">
        <v>153104090</v>
      </c>
      <c r="D97" s="163">
        <f>IF(B97=0, "    ---- ", IF(ABS(ROUND(100/B97*C97-100,1))&lt;999,ROUND(100/B97*C97-100,1),IF(ROUND(100/B97*C97-100,1)&gt;999,999,-999)))</f>
        <v>2</v>
      </c>
      <c r="E97" s="25">
        <f>IFERROR(100/'Skjema total MA'!C97*C97,0)</f>
        <v>41.609352244997879</v>
      </c>
      <c r="F97" s="232"/>
      <c r="G97" s="142"/>
      <c r="H97" s="163"/>
      <c r="I97" s="25"/>
      <c r="J97" s="282">
        <f t="shared" si="8"/>
        <v>150156716.229</v>
      </c>
      <c r="K97" s="42">
        <f t="shared" si="8"/>
        <v>153104090</v>
      </c>
      <c r="L97" s="253">
        <f>IF(J97=0, "    ---- ", IF(ABS(ROUND(100/J97*K97-100,1))&lt;999,ROUND(100/J97*K97-100,1),IF(ROUND(100/J97*K97-100,1)&gt;999,999,-999)))</f>
        <v>2</v>
      </c>
      <c r="M97" s="25">
        <f>IFERROR(100/'Skjema total MA'!I97*K97,0)</f>
        <v>41.609352244997879</v>
      </c>
      <c r="O97" s="145"/>
    </row>
    <row r="98" spans="1:15" x14ac:dyDescent="0.2">
      <c r="A98" s="19" t="s">
        <v>10</v>
      </c>
      <c r="B98" s="284">
        <v>98704</v>
      </c>
      <c r="C98" s="285">
        <v>96493</v>
      </c>
      <c r="D98" s="163">
        <f>IF(B98=0, "    ---- ", IF(ABS(ROUND(100/B98*C98-100,1))&lt;999,ROUND(100/B98*C98-100,1),IF(ROUND(100/B98*C98-100,1)&gt;999,999,-999)))</f>
        <v>-2.2000000000000002</v>
      </c>
      <c r="E98" s="25">
        <f>IFERROR(100/'Skjema total MA'!C98*C98,0)</f>
        <v>3.85658132968666</v>
      </c>
      <c r="F98" s="232">
        <v>45932058</v>
      </c>
      <c r="G98" s="232">
        <v>59226369</v>
      </c>
      <c r="H98" s="163">
        <f>IF(F98=0, "    ---- ", IF(ABS(ROUND(100/F98*G98-100,1))&lt;999,ROUND(100/F98*G98-100,1),IF(ROUND(100/F98*G98-100,1)&gt;999,999,-999)))</f>
        <v>28.9</v>
      </c>
      <c r="I98" s="25">
        <f>IFERROR(100/'Skjema total MA'!F98*G98,0)</f>
        <v>28.288895799670524</v>
      </c>
      <c r="J98" s="282">
        <f t="shared" si="8"/>
        <v>46030762</v>
      </c>
      <c r="K98" s="42">
        <f t="shared" si="8"/>
        <v>59322862</v>
      </c>
      <c r="L98" s="253">
        <f>IF(J98=0, "    ---- ", IF(ABS(ROUND(100/J98*K98-100,1))&lt;999,ROUND(100/J98*K98-100,1),IF(ROUND(100/J98*K98-100,1)&gt;999,999,-999)))</f>
        <v>28.9</v>
      </c>
      <c r="M98" s="25">
        <f>IFERROR(100/'Skjema total MA'!I98*K98,0)</f>
        <v>28.000360171805255</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v>1318766.7709999999</v>
      </c>
      <c r="C105" s="142">
        <v>1363388</v>
      </c>
      <c r="D105" s="163">
        <f>IF(B105=0, "    ---- ", IF(ABS(ROUND(100/B105*C105-100,1))&lt;999,ROUND(100/B105*C105-100,1),IF(ROUND(100/B105*C105-100,1)&gt;999,999,-999)))</f>
        <v>3.4</v>
      </c>
      <c r="E105" s="25">
        <f>IFERROR(100/'Skjema total MA'!C105*C105,0)</f>
        <v>27.905259144475032</v>
      </c>
      <c r="F105" s="232">
        <v>162919</v>
      </c>
      <c r="G105" s="142">
        <v>139089</v>
      </c>
      <c r="H105" s="163">
        <f>IF(F105=0, "    ---- ", IF(ABS(ROUND(100/F105*G105-100,1))&lt;999,ROUND(100/F105*G105-100,1),IF(ROUND(100/F105*G105-100,1)&gt;999,999,-999)))</f>
        <v>-14.6</v>
      </c>
      <c r="I105" s="25">
        <f>IFERROR(100/'Skjema total MA'!F105*G105,0)</f>
        <v>25.309499426629724</v>
      </c>
      <c r="J105" s="282">
        <f t="shared" ref="J105:K109" si="9">SUM(B105,F105)</f>
        <v>1481685.7709999999</v>
      </c>
      <c r="K105" s="42">
        <f t="shared" si="9"/>
        <v>1502477</v>
      </c>
      <c r="L105" s="253">
        <f>IF(J105=0, "    ---- ", IF(ABS(ROUND(100/J105*K105-100,1))&lt;999,ROUND(100/J105*K105-100,1),IF(ROUND(100/J105*K105-100,1)&gt;999,999,-999)))</f>
        <v>1.4</v>
      </c>
      <c r="M105" s="25">
        <f>IFERROR(100/'Skjema total MA'!I105*K105,0)</f>
        <v>27.642808256602443</v>
      </c>
      <c r="O105" s="145"/>
    </row>
    <row r="106" spans="1:15" ht="15.75" x14ac:dyDescent="0.2">
      <c r="A106" s="19" t="s">
        <v>416</v>
      </c>
      <c r="B106" s="232">
        <v>111481767</v>
      </c>
      <c r="C106" s="232">
        <v>125677212</v>
      </c>
      <c r="D106" s="163">
        <f>IF(B106=0, "    ---- ", IF(ABS(ROUND(100/B106*C106-100,1))&lt;999,ROUND(100/B106*C106-100,1),IF(ROUND(100/B106*C106-100,1)&gt;999,999,-999)))</f>
        <v>12.7</v>
      </c>
      <c r="E106" s="25">
        <f>IFERROR(100/'Skjema total MA'!C106*C106,0)</f>
        <v>42.215209377888861</v>
      </c>
      <c r="F106" s="232">
        <v>160488</v>
      </c>
      <c r="G106" s="232">
        <v>275000</v>
      </c>
      <c r="H106" s="163">
        <f>IF(F106=0, "    ---- ", IF(ABS(ROUND(100/F106*G106-100,1))&lt;999,ROUND(100/F106*G106-100,1),IF(ROUND(100/F106*G106-100,1)&gt;999,999,-999)))</f>
        <v>71.400000000000006</v>
      </c>
      <c r="I106" s="25">
        <f>IFERROR(100/'Skjema total MA'!F106*G106,0)</f>
        <v>4.0174267258665184</v>
      </c>
      <c r="J106" s="282">
        <f t="shared" si="9"/>
        <v>111642255</v>
      </c>
      <c r="K106" s="42">
        <f t="shared" si="9"/>
        <v>125952212</v>
      </c>
      <c r="L106" s="253">
        <f>IF(J106=0, "    ---- ", IF(ABS(ROUND(100/J106*K106-100,1))&lt;999,ROUND(100/J106*K106-100,1),IF(ROUND(100/J106*K106-100,1)&gt;999,999,-999)))</f>
        <v>12.8</v>
      </c>
      <c r="M106" s="25">
        <f>IFERROR(100/'Skjema total MA'!I106*K106,0)</f>
        <v>41.356665300207887</v>
      </c>
      <c r="O106" s="145"/>
    </row>
    <row r="107" spans="1:15" ht="15.75" x14ac:dyDescent="0.2">
      <c r="A107" s="19" t="s">
        <v>414</v>
      </c>
      <c r="B107" s="232">
        <v>98704</v>
      </c>
      <c r="C107" s="232">
        <v>96493</v>
      </c>
      <c r="D107" s="163">
        <f>IF(B107=0, "    ---- ", IF(ABS(ROUND(100/B107*C107-100,1))&lt;999,ROUND(100/B107*C107-100,1),IF(ROUND(100/B107*C107-100,1)&gt;999,999,-999)))</f>
        <v>-2.2000000000000002</v>
      </c>
      <c r="E107" s="25">
        <f>IFERROR(100/'Skjema total MA'!C107*C107,0)</f>
        <v>12.542084233291611</v>
      </c>
      <c r="F107" s="232">
        <v>13704511</v>
      </c>
      <c r="G107" s="232">
        <v>17309018</v>
      </c>
      <c r="H107" s="163">
        <f>IF(F107=0, "    ---- ", IF(ABS(ROUND(100/F107*G107-100,1))&lt;999,ROUND(100/F107*G107-100,1),IF(ROUND(100/F107*G107-100,1)&gt;999,999,-999)))</f>
        <v>26.3</v>
      </c>
      <c r="I107" s="25">
        <f>IFERROR(100/'Skjema total MA'!F107*G107,0)</f>
        <v>25.803301694511926</v>
      </c>
      <c r="J107" s="282">
        <f t="shared" si="9"/>
        <v>13803215</v>
      </c>
      <c r="K107" s="42">
        <f t="shared" si="9"/>
        <v>17405511</v>
      </c>
      <c r="L107" s="253">
        <f>IF(J107=0, "    ---- ", IF(ABS(ROUND(100/J107*K107-100,1))&lt;999,ROUND(100/J107*K107-100,1),IF(ROUND(100/J107*K107-100,1)&gt;999,999,-999)))</f>
        <v>26.1</v>
      </c>
      <c r="M107" s="25">
        <f>IFERROR(100/'Skjema total MA'!I107*K107,0)</f>
        <v>25.652932204106037</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484971</v>
      </c>
      <c r="C109" s="156">
        <v>318309</v>
      </c>
      <c r="D109" s="168">
        <f>IF(B109=0, "    ---- ", IF(ABS(ROUND(100/B109*C109-100,1))&lt;999,ROUND(100/B109*C109-100,1),IF(ROUND(100/B109*C109-100,1)&gt;999,999,-999)))</f>
        <v>-34.4</v>
      </c>
      <c r="E109" s="11">
        <f>IFERROR(100/'Skjema total MA'!C109*C109,0)</f>
        <v>68.386542508583616</v>
      </c>
      <c r="F109" s="297">
        <v>1128631</v>
      </c>
      <c r="G109" s="156">
        <v>2855535</v>
      </c>
      <c r="H109" s="168">
        <f>IF(F109=0, "    ---- ", IF(ABS(ROUND(100/F109*G109-100,1))&lt;999,ROUND(100/F109*G109-100,1),IF(ROUND(100/F109*G109-100,1)&gt;999,999,-999)))</f>
        <v>153</v>
      </c>
      <c r="I109" s="11">
        <f>IFERROR(100/'Skjema total MA'!F109*G109,0)</f>
        <v>34.748866485646168</v>
      </c>
      <c r="J109" s="298">
        <f t="shared" si="9"/>
        <v>1613602</v>
      </c>
      <c r="K109" s="234">
        <f t="shared" si="9"/>
        <v>3173844</v>
      </c>
      <c r="L109" s="411">
        <f>IF(J109=0, "    ---- ", IF(ABS(ROUND(100/J109*K109-100,1))&lt;999,ROUND(100/J109*K109-100,1),IF(ROUND(100/J109*K109-100,1)&gt;999,999,-999)))</f>
        <v>96.7</v>
      </c>
      <c r="M109" s="11">
        <f>IFERROR(100/'Skjema total MA'!I109*K109,0)</f>
        <v>36.552008460768818</v>
      </c>
      <c r="O109" s="145"/>
    </row>
    <row r="110" spans="1:15" x14ac:dyDescent="0.2">
      <c r="A110" s="19" t="s">
        <v>9</v>
      </c>
      <c r="B110" s="232">
        <v>484971</v>
      </c>
      <c r="C110" s="142">
        <v>318309</v>
      </c>
      <c r="D110" s="163">
        <f t="shared" ref="D110:D122" si="10">IF(B110=0, "    ---- ", IF(ABS(ROUND(100/B110*C110-100,1))&lt;999,ROUND(100/B110*C110-100,1),IF(ROUND(100/B110*C110-100,1)&gt;999,999,-999)))</f>
        <v>-34.4</v>
      </c>
      <c r="E110" s="25">
        <f>IFERROR(100/'Skjema total MA'!C110*C110,0)</f>
        <v>72.275974789833739</v>
      </c>
      <c r="F110" s="232"/>
      <c r="G110" s="142"/>
      <c r="H110" s="163"/>
      <c r="I110" s="25"/>
      <c r="J110" s="282">
        <f t="shared" ref="J110:K123" si="11">SUM(B110,F110)</f>
        <v>484971</v>
      </c>
      <c r="K110" s="42">
        <f t="shared" si="11"/>
        <v>318309</v>
      </c>
      <c r="L110" s="253">
        <f t="shared" ref="L110:L123" si="12">IF(J110=0, "    ---- ", IF(ABS(ROUND(100/J110*K110-100,1))&lt;999,ROUND(100/J110*K110-100,1),IF(ROUND(100/J110*K110-100,1)&gt;999,999,-999)))</f>
        <v>-34.4</v>
      </c>
      <c r="M110" s="25">
        <f>IFERROR(100/'Skjema total MA'!I110*K110,0)</f>
        <v>72.275974789833739</v>
      </c>
      <c r="O110" s="145"/>
    </row>
    <row r="111" spans="1:15" x14ac:dyDescent="0.2">
      <c r="A111" s="19" t="s">
        <v>10</v>
      </c>
      <c r="B111" s="232"/>
      <c r="C111" s="142"/>
      <c r="D111" s="163"/>
      <c r="E111" s="25"/>
      <c r="F111" s="232">
        <v>1128631</v>
      </c>
      <c r="G111" s="142">
        <v>2855535</v>
      </c>
      <c r="H111" s="163">
        <f t="shared" ref="H111:H123" si="13">IF(F111=0, "    ---- ", IF(ABS(ROUND(100/F111*G111-100,1))&lt;999,ROUND(100/F111*G111-100,1),IF(ROUND(100/F111*G111-100,1)&gt;999,999,-999)))</f>
        <v>153</v>
      </c>
      <c r="I111" s="25">
        <f>IFERROR(100/'Skjema total MA'!F111*G111,0)</f>
        <v>34.748866485646168</v>
      </c>
      <c r="J111" s="282">
        <f t="shared" si="11"/>
        <v>1128631</v>
      </c>
      <c r="K111" s="42">
        <f t="shared" si="11"/>
        <v>2855535</v>
      </c>
      <c r="L111" s="253">
        <f t="shared" si="12"/>
        <v>153</v>
      </c>
      <c r="M111" s="25">
        <f>IFERROR(100/'Skjema total MA'!I111*K111,0)</f>
        <v>34.73748770300265</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232463</v>
      </c>
      <c r="C114" s="232">
        <v>99659.505770000003</v>
      </c>
      <c r="D114" s="163">
        <f t="shared" si="10"/>
        <v>-57.1</v>
      </c>
      <c r="E114" s="25">
        <f>IFERROR(100/'Skjema total MA'!C114*C114,0)</f>
        <v>68.936313780980129</v>
      </c>
      <c r="F114" s="232"/>
      <c r="G114" s="232"/>
      <c r="H114" s="163"/>
      <c r="I114" s="25"/>
      <c r="J114" s="282">
        <f t="shared" si="11"/>
        <v>232463</v>
      </c>
      <c r="K114" s="42">
        <f t="shared" si="11"/>
        <v>99659.505770000003</v>
      </c>
      <c r="L114" s="253">
        <f t="shared" si="12"/>
        <v>-57.1</v>
      </c>
      <c r="M114" s="25">
        <f>IFERROR(100/'Skjema total MA'!I114*K114,0)</f>
        <v>62.177081518285881</v>
      </c>
      <c r="O114" s="145"/>
    </row>
    <row r="115" spans="1:15" ht="15.75" x14ac:dyDescent="0.2">
      <c r="A115" s="19" t="s">
        <v>414</v>
      </c>
      <c r="B115" s="232"/>
      <c r="C115" s="232"/>
      <c r="D115" s="163"/>
      <c r="E115" s="25"/>
      <c r="F115" s="232">
        <v>115347</v>
      </c>
      <c r="G115" s="232">
        <v>192097.78072000001</v>
      </c>
      <c r="H115" s="163">
        <f t="shared" si="13"/>
        <v>66.5</v>
      </c>
      <c r="I115" s="25">
        <f>IFERROR(100/'Skjema total MA'!F115*G115,0)</f>
        <v>13.435315564547087</v>
      </c>
      <c r="J115" s="282">
        <f t="shared" si="11"/>
        <v>115347</v>
      </c>
      <c r="K115" s="42">
        <f t="shared" si="11"/>
        <v>192097.78072000001</v>
      </c>
      <c r="L115" s="253">
        <f t="shared" si="12"/>
        <v>66.5</v>
      </c>
      <c r="M115" s="25">
        <f>IFERROR(100/'Skjema total MA'!I115*K115,0)</f>
        <v>13.435315564547087</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257282</v>
      </c>
      <c r="C117" s="156">
        <v>79366</v>
      </c>
      <c r="D117" s="168">
        <f t="shared" si="10"/>
        <v>-69.2</v>
      </c>
      <c r="E117" s="11">
        <f>IFERROR(100/'Skjema total MA'!C117*C117,0)</f>
        <v>21.04388732918985</v>
      </c>
      <c r="F117" s="297">
        <v>816199</v>
      </c>
      <c r="G117" s="156">
        <v>1408460</v>
      </c>
      <c r="H117" s="168">
        <f t="shared" si="13"/>
        <v>72.599999999999994</v>
      </c>
      <c r="I117" s="11">
        <f>IFERROR(100/'Skjema total MA'!F117*G117,0)</f>
        <v>17.19145473610541</v>
      </c>
      <c r="J117" s="298">
        <f t="shared" si="11"/>
        <v>1073481</v>
      </c>
      <c r="K117" s="234">
        <f t="shared" si="11"/>
        <v>1487826</v>
      </c>
      <c r="L117" s="411">
        <f t="shared" si="12"/>
        <v>38.6</v>
      </c>
      <c r="M117" s="11">
        <f>IFERROR(100/'Skjema total MA'!I117*K117,0)</f>
        <v>17.360992314000743</v>
      </c>
      <c r="O117" s="145"/>
    </row>
    <row r="118" spans="1:15" x14ac:dyDescent="0.2">
      <c r="A118" s="19" t="s">
        <v>9</v>
      </c>
      <c r="B118" s="232">
        <v>257282</v>
      </c>
      <c r="C118" s="142">
        <v>79366</v>
      </c>
      <c r="D118" s="163">
        <f t="shared" si="10"/>
        <v>-69.2</v>
      </c>
      <c r="E118" s="25">
        <f>IFERROR(100/'Skjema total MA'!C118*C118,0)</f>
        <v>22.882710630431042</v>
      </c>
      <c r="F118" s="232"/>
      <c r="G118" s="142"/>
      <c r="H118" s="163"/>
      <c r="I118" s="25"/>
      <c r="J118" s="282">
        <f t="shared" si="11"/>
        <v>257282</v>
      </c>
      <c r="K118" s="42">
        <f t="shared" si="11"/>
        <v>79366</v>
      </c>
      <c r="L118" s="253">
        <f t="shared" si="12"/>
        <v>-69.2</v>
      </c>
      <c r="M118" s="25">
        <f>IFERROR(100/'Skjema total MA'!I118*K118,0)</f>
        <v>22.882710630431042</v>
      </c>
      <c r="O118" s="145"/>
    </row>
    <row r="119" spans="1:15" x14ac:dyDescent="0.2">
      <c r="A119" s="19" t="s">
        <v>10</v>
      </c>
      <c r="B119" s="232"/>
      <c r="C119" s="142"/>
      <c r="D119" s="163"/>
      <c r="E119" s="25"/>
      <c r="F119" s="232">
        <v>816199</v>
      </c>
      <c r="G119" s="142">
        <v>1408460</v>
      </c>
      <c r="H119" s="163">
        <f t="shared" si="13"/>
        <v>72.599999999999994</v>
      </c>
      <c r="I119" s="25">
        <f>IFERROR(100/'Skjema total MA'!F119*G119,0)</f>
        <v>17.19145473610541</v>
      </c>
      <c r="J119" s="282">
        <f t="shared" si="11"/>
        <v>816199</v>
      </c>
      <c r="K119" s="42">
        <f t="shared" si="11"/>
        <v>1408460</v>
      </c>
      <c r="L119" s="253">
        <f t="shared" si="12"/>
        <v>72.599999999999994</v>
      </c>
      <c r="M119" s="25">
        <f>IFERROR(100/'Skjema total MA'!I119*K119,0)</f>
        <v>17.142896349112931</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v>23114</v>
      </c>
      <c r="C122" s="232">
        <v>43352.925660000001</v>
      </c>
      <c r="D122" s="163">
        <f t="shared" si="10"/>
        <v>87.6</v>
      </c>
      <c r="E122" s="25">
        <f>IFERROR(100/'Skjema total MA'!C122*C122,0)</f>
        <v>91.304165268538299</v>
      </c>
      <c r="F122" s="232"/>
      <c r="G122" s="232"/>
      <c r="H122" s="163"/>
      <c r="I122" s="25"/>
      <c r="J122" s="282">
        <f t="shared" si="11"/>
        <v>23114</v>
      </c>
      <c r="K122" s="42">
        <f t="shared" si="11"/>
        <v>43352.925660000001</v>
      </c>
      <c r="L122" s="253">
        <f t="shared" si="12"/>
        <v>87.6</v>
      </c>
      <c r="M122" s="25">
        <f>IFERROR(100/'Skjema total MA'!I122*K122,0)</f>
        <v>71.767997626255621</v>
      </c>
      <c r="O122" s="145"/>
    </row>
    <row r="123" spans="1:15" ht="15.75" x14ac:dyDescent="0.2">
      <c r="A123" s="19" t="s">
        <v>414</v>
      </c>
      <c r="B123" s="232"/>
      <c r="C123" s="232"/>
      <c r="D123" s="163"/>
      <c r="E123" s="25"/>
      <c r="F123" s="232">
        <v>179535</v>
      </c>
      <c r="G123" s="232">
        <v>419666.28039999999</v>
      </c>
      <c r="H123" s="163">
        <f t="shared" si="13"/>
        <v>133.80000000000001</v>
      </c>
      <c r="I123" s="25">
        <f>IFERROR(100/'Skjema total MA'!F123*G123,0)</f>
        <v>28.286574128042353</v>
      </c>
      <c r="J123" s="282">
        <f t="shared" si="11"/>
        <v>179535</v>
      </c>
      <c r="K123" s="42">
        <f t="shared" si="11"/>
        <v>419666.28039999999</v>
      </c>
      <c r="L123" s="253">
        <f t="shared" si="12"/>
        <v>133.80000000000001</v>
      </c>
      <c r="M123" s="25">
        <f>IFERROR(100/'Skjema total MA'!I123*K123,0)</f>
        <v>28.214122738259444</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v>2147343</v>
      </c>
      <c r="C133" s="298">
        <v>0</v>
      </c>
      <c r="D133" s="168">
        <f>IF(B133=0, "    ---- ", IF(ABS(ROUND(100/B133*C133-100,1))&lt;999,ROUND(100/B133*C133-100,1),IF(ROUND(100/B133*C133-100,1)&gt;999,999,-999)))</f>
        <v>-100</v>
      </c>
      <c r="E133" s="11">
        <f>IFERROR(100/'Skjema total MA'!C133*C133,0)</f>
        <v>0</v>
      </c>
      <c r="F133" s="234"/>
      <c r="G133" s="298"/>
      <c r="H133" s="415"/>
      <c r="I133" s="22"/>
      <c r="J133" s="297">
        <f t="shared" ref="J133:K133" si="14">SUM(B133,F133)</f>
        <v>2147343</v>
      </c>
      <c r="K133" s="297">
        <f t="shared" si="14"/>
        <v>0</v>
      </c>
      <c r="L133" s="411">
        <f>IF(J133=0, "    ---- ", IF(ABS(ROUND(100/J133*K133-100,1))&lt;999,ROUND(100/J133*K133-100,1),IF(ROUND(100/J133*K133-100,1)&gt;999,999,-999)))</f>
        <v>-100</v>
      </c>
      <c r="M133" s="11">
        <f>IFERROR(100/'Skjema total MA'!I133*K133,0)</f>
        <v>0</v>
      </c>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738" priority="142">
      <formula>kvartal &lt; 4</formula>
    </cfRule>
  </conditionalFormatting>
  <conditionalFormatting sqref="B29">
    <cfRule type="expression" dxfId="1737" priority="140">
      <formula>kvartal &lt; 4</formula>
    </cfRule>
  </conditionalFormatting>
  <conditionalFormatting sqref="B30">
    <cfRule type="expression" dxfId="1736" priority="139">
      <formula>kvartal &lt; 4</formula>
    </cfRule>
  </conditionalFormatting>
  <conditionalFormatting sqref="B31">
    <cfRule type="expression" dxfId="1735" priority="138">
      <formula>kvartal &lt; 4</formula>
    </cfRule>
  </conditionalFormatting>
  <conditionalFormatting sqref="C29">
    <cfRule type="expression" dxfId="1734" priority="137">
      <formula>kvartal &lt; 4</formula>
    </cfRule>
  </conditionalFormatting>
  <conditionalFormatting sqref="C30">
    <cfRule type="expression" dxfId="1733" priority="136">
      <formula>kvartal &lt; 4</formula>
    </cfRule>
  </conditionalFormatting>
  <conditionalFormatting sqref="C31">
    <cfRule type="expression" dxfId="1732" priority="135">
      <formula>kvartal &lt; 4</formula>
    </cfRule>
  </conditionalFormatting>
  <conditionalFormatting sqref="B23:C25">
    <cfRule type="expression" dxfId="1731" priority="134">
      <formula>kvartal &lt; 4</formula>
    </cfRule>
  </conditionalFormatting>
  <conditionalFormatting sqref="F23:G25">
    <cfRule type="expression" dxfId="1730" priority="130">
      <formula>kvartal &lt; 4</formula>
    </cfRule>
  </conditionalFormatting>
  <conditionalFormatting sqref="F29">
    <cfRule type="expression" dxfId="1729" priority="123">
      <formula>kvartal &lt; 4</formula>
    </cfRule>
  </conditionalFormatting>
  <conditionalFormatting sqref="F30">
    <cfRule type="expression" dxfId="1728" priority="122">
      <formula>kvartal &lt; 4</formula>
    </cfRule>
  </conditionalFormatting>
  <conditionalFormatting sqref="F31">
    <cfRule type="expression" dxfId="1727" priority="121">
      <formula>kvartal &lt; 4</formula>
    </cfRule>
  </conditionalFormatting>
  <conditionalFormatting sqref="G29">
    <cfRule type="expression" dxfId="1726" priority="120">
      <formula>kvartal &lt; 4</formula>
    </cfRule>
  </conditionalFormatting>
  <conditionalFormatting sqref="G30">
    <cfRule type="expression" dxfId="1725" priority="119">
      <formula>kvartal &lt; 4</formula>
    </cfRule>
  </conditionalFormatting>
  <conditionalFormatting sqref="G31">
    <cfRule type="expression" dxfId="1724" priority="118">
      <formula>kvartal &lt; 4</formula>
    </cfRule>
  </conditionalFormatting>
  <conditionalFormatting sqref="B26">
    <cfRule type="expression" dxfId="1723" priority="117">
      <formula>kvartal &lt; 4</formula>
    </cfRule>
  </conditionalFormatting>
  <conditionalFormatting sqref="C26">
    <cfRule type="expression" dxfId="1722" priority="116">
      <formula>kvartal &lt; 4</formula>
    </cfRule>
  </conditionalFormatting>
  <conditionalFormatting sqref="F26">
    <cfRule type="expression" dxfId="1721" priority="115">
      <formula>kvartal &lt; 4</formula>
    </cfRule>
  </conditionalFormatting>
  <conditionalFormatting sqref="G26">
    <cfRule type="expression" dxfId="1720" priority="114">
      <formula>kvartal &lt; 4</formula>
    </cfRule>
  </conditionalFormatting>
  <conditionalFormatting sqref="J23:K26">
    <cfRule type="expression" dxfId="1719" priority="113">
      <formula>kvartal &lt; 4</formula>
    </cfRule>
  </conditionalFormatting>
  <conditionalFormatting sqref="J29:K31">
    <cfRule type="expression" dxfId="1718" priority="111">
      <formula>kvartal &lt; 4</formula>
    </cfRule>
  </conditionalFormatting>
  <conditionalFormatting sqref="B67">
    <cfRule type="expression" dxfId="1717" priority="110">
      <formula>kvartal &lt; 4</formula>
    </cfRule>
  </conditionalFormatting>
  <conditionalFormatting sqref="C67">
    <cfRule type="expression" dxfId="1716" priority="109">
      <formula>kvartal &lt; 4</formula>
    </cfRule>
  </conditionalFormatting>
  <conditionalFormatting sqref="B70">
    <cfRule type="expression" dxfId="1715" priority="108">
      <formula>kvartal &lt; 4</formula>
    </cfRule>
  </conditionalFormatting>
  <conditionalFormatting sqref="C70">
    <cfRule type="expression" dxfId="1714" priority="107">
      <formula>kvartal &lt; 4</formula>
    </cfRule>
  </conditionalFormatting>
  <conditionalFormatting sqref="B78">
    <cfRule type="expression" dxfId="1713" priority="106">
      <formula>kvartal &lt; 4</formula>
    </cfRule>
  </conditionalFormatting>
  <conditionalFormatting sqref="C78">
    <cfRule type="expression" dxfId="1712" priority="105">
      <formula>kvartal &lt; 4</formula>
    </cfRule>
  </conditionalFormatting>
  <conditionalFormatting sqref="B81">
    <cfRule type="expression" dxfId="1711" priority="104">
      <formula>kvartal &lt; 4</formula>
    </cfRule>
  </conditionalFormatting>
  <conditionalFormatting sqref="C81">
    <cfRule type="expression" dxfId="1710" priority="103">
      <formula>kvartal &lt; 4</formula>
    </cfRule>
  </conditionalFormatting>
  <conditionalFormatting sqref="B88">
    <cfRule type="expression" dxfId="1709" priority="94">
      <formula>kvartal &lt; 4</formula>
    </cfRule>
  </conditionalFormatting>
  <conditionalFormatting sqref="C88">
    <cfRule type="expression" dxfId="1708" priority="93">
      <formula>kvartal &lt; 4</formula>
    </cfRule>
  </conditionalFormatting>
  <conditionalFormatting sqref="B91">
    <cfRule type="expression" dxfId="1707" priority="92">
      <formula>kvartal &lt; 4</formula>
    </cfRule>
  </conditionalFormatting>
  <conditionalFormatting sqref="C91">
    <cfRule type="expression" dxfId="1706" priority="91">
      <formula>kvartal &lt; 4</formula>
    </cfRule>
  </conditionalFormatting>
  <conditionalFormatting sqref="B99">
    <cfRule type="expression" dxfId="1705" priority="90">
      <formula>kvartal &lt; 4</formula>
    </cfRule>
  </conditionalFormatting>
  <conditionalFormatting sqref="C99">
    <cfRule type="expression" dxfId="1704" priority="89">
      <formula>kvartal &lt; 4</formula>
    </cfRule>
  </conditionalFormatting>
  <conditionalFormatting sqref="B102">
    <cfRule type="expression" dxfId="1703" priority="88">
      <formula>kvartal &lt; 4</formula>
    </cfRule>
  </conditionalFormatting>
  <conditionalFormatting sqref="C102">
    <cfRule type="expression" dxfId="1702" priority="87">
      <formula>kvartal &lt; 4</formula>
    </cfRule>
  </conditionalFormatting>
  <conditionalFormatting sqref="B113">
    <cfRule type="expression" dxfId="1701" priority="86">
      <formula>kvartal &lt; 4</formula>
    </cfRule>
  </conditionalFormatting>
  <conditionalFormatting sqref="C113">
    <cfRule type="expression" dxfId="1700" priority="85">
      <formula>kvartal &lt; 4</formula>
    </cfRule>
  </conditionalFormatting>
  <conditionalFormatting sqref="B121">
    <cfRule type="expression" dxfId="1699" priority="84">
      <formula>kvartal &lt; 4</formula>
    </cfRule>
  </conditionalFormatting>
  <conditionalFormatting sqref="C121">
    <cfRule type="expression" dxfId="1698" priority="83">
      <formula>kvartal &lt; 4</formula>
    </cfRule>
  </conditionalFormatting>
  <conditionalFormatting sqref="F68">
    <cfRule type="expression" dxfId="1697" priority="82">
      <formula>kvartal &lt; 4</formula>
    </cfRule>
  </conditionalFormatting>
  <conditionalFormatting sqref="G68">
    <cfRule type="expression" dxfId="1696" priority="81">
      <formula>kvartal &lt; 4</formula>
    </cfRule>
  </conditionalFormatting>
  <conditionalFormatting sqref="F69:G69">
    <cfRule type="expression" dxfId="1695" priority="80">
      <formula>kvartal &lt; 4</formula>
    </cfRule>
  </conditionalFormatting>
  <conditionalFormatting sqref="F71:G72">
    <cfRule type="expression" dxfId="1694" priority="79">
      <formula>kvartal &lt; 4</formula>
    </cfRule>
  </conditionalFormatting>
  <conditionalFormatting sqref="F79:G80">
    <cfRule type="expression" dxfId="1693" priority="78">
      <formula>kvartal &lt; 4</formula>
    </cfRule>
  </conditionalFormatting>
  <conditionalFormatting sqref="F82:G83">
    <cfRule type="expression" dxfId="1692" priority="77">
      <formula>kvartal &lt; 4</formula>
    </cfRule>
  </conditionalFormatting>
  <conditionalFormatting sqref="F89:G90">
    <cfRule type="expression" dxfId="1691" priority="72">
      <formula>kvartal &lt; 4</formula>
    </cfRule>
  </conditionalFormatting>
  <conditionalFormatting sqref="F92:G93">
    <cfRule type="expression" dxfId="1690" priority="71">
      <formula>kvartal &lt; 4</formula>
    </cfRule>
  </conditionalFormatting>
  <conditionalFormatting sqref="F100:G101">
    <cfRule type="expression" dxfId="1689" priority="70">
      <formula>kvartal &lt; 4</formula>
    </cfRule>
  </conditionalFormatting>
  <conditionalFormatting sqref="F103:G104">
    <cfRule type="expression" dxfId="1688" priority="69">
      <formula>kvartal &lt; 4</formula>
    </cfRule>
  </conditionalFormatting>
  <conditionalFormatting sqref="F113">
    <cfRule type="expression" dxfId="1687" priority="68">
      <formula>kvartal &lt; 4</formula>
    </cfRule>
  </conditionalFormatting>
  <conditionalFormatting sqref="G113">
    <cfRule type="expression" dxfId="1686" priority="67">
      <formula>kvartal &lt; 4</formula>
    </cfRule>
  </conditionalFormatting>
  <conditionalFormatting sqref="F121:G121">
    <cfRule type="expression" dxfId="1685" priority="66">
      <formula>kvartal &lt; 4</formula>
    </cfRule>
  </conditionalFormatting>
  <conditionalFormatting sqref="F67:G67">
    <cfRule type="expression" dxfId="1684" priority="65">
      <formula>kvartal &lt; 4</formula>
    </cfRule>
  </conditionalFormatting>
  <conditionalFormatting sqref="F70:G70">
    <cfRule type="expression" dxfId="1683" priority="64">
      <formula>kvartal &lt; 4</formula>
    </cfRule>
  </conditionalFormatting>
  <conditionalFormatting sqref="F78:G78">
    <cfRule type="expression" dxfId="1682" priority="63">
      <formula>kvartal &lt; 4</formula>
    </cfRule>
  </conditionalFormatting>
  <conditionalFormatting sqref="F81:G81">
    <cfRule type="expression" dxfId="1681" priority="62">
      <formula>kvartal &lt; 4</formula>
    </cfRule>
  </conditionalFormatting>
  <conditionalFormatting sqref="F88:G88">
    <cfRule type="expression" dxfId="1680" priority="56">
      <formula>kvartal &lt; 4</formula>
    </cfRule>
  </conditionalFormatting>
  <conditionalFormatting sqref="F91">
    <cfRule type="expression" dxfId="1679" priority="55">
      <formula>kvartal &lt; 4</formula>
    </cfRule>
  </conditionalFormatting>
  <conditionalFormatting sqref="G91">
    <cfRule type="expression" dxfId="1678" priority="54">
      <formula>kvartal &lt; 4</formula>
    </cfRule>
  </conditionalFormatting>
  <conditionalFormatting sqref="F99">
    <cfRule type="expression" dxfId="1677" priority="53">
      <formula>kvartal &lt; 4</formula>
    </cfRule>
  </conditionalFormatting>
  <conditionalFormatting sqref="G99">
    <cfRule type="expression" dxfId="1676" priority="52">
      <formula>kvartal &lt; 4</formula>
    </cfRule>
  </conditionalFormatting>
  <conditionalFormatting sqref="G102">
    <cfRule type="expression" dxfId="1675" priority="51">
      <formula>kvartal &lt; 4</formula>
    </cfRule>
  </conditionalFormatting>
  <conditionalFormatting sqref="F102">
    <cfRule type="expression" dxfId="1674" priority="50">
      <formula>kvartal &lt; 4</formula>
    </cfRule>
  </conditionalFormatting>
  <conditionalFormatting sqref="J67:K71">
    <cfRule type="expression" dxfId="1673" priority="49">
      <formula>kvartal &lt; 4</formula>
    </cfRule>
  </conditionalFormatting>
  <conditionalFormatting sqref="J72:K72">
    <cfRule type="expression" dxfId="1672" priority="48">
      <formula>kvartal &lt; 4</formula>
    </cfRule>
  </conditionalFormatting>
  <conditionalFormatting sqref="J78:K83">
    <cfRule type="expression" dxfId="1671" priority="47">
      <formula>kvartal &lt; 4</formula>
    </cfRule>
  </conditionalFormatting>
  <conditionalFormatting sqref="J88:K93">
    <cfRule type="expression" dxfId="1670" priority="44">
      <formula>kvartal &lt; 4</formula>
    </cfRule>
  </conditionalFormatting>
  <conditionalFormatting sqref="J99:K104">
    <cfRule type="expression" dxfId="1669" priority="43">
      <formula>kvartal &lt; 4</formula>
    </cfRule>
  </conditionalFormatting>
  <conditionalFormatting sqref="J113:K113">
    <cfRule type="expression" dxfId="1668" priority="42">
      <formula>kvartal &lt; 4</formula>
    </cfRule>
  </conditionalFormatting>
  <conditionalFormatting sqref="J121:K121">
    <cfRule type="expression" dxfId="1667" priority="41">
      <formula>kvartal &lt; 4</formula>
    </cfRule>
  </conditionalFormatting>
  <conditionalFormatting sqref="A23:A25">
    <cfRule type="expression" dxfId="1666" priority="10">
      <formula>kvartal &lt; 4</formula>
    </cfRule>
  </conditionalFormatting>
  <conditionalFormatting sqref="A48:A50">
    <cfRule type="expression" dxfId="1665" priority="9">
      <formula>kvartal &lt; 4</formula>
    </cfRule>
  </conditionalFormatting>
  <conditionalFormatting sqref="A67:A72">
    <cfRule type="expression" dxfId="1664" priority="8">
      <formula>kvartal &lt; 4</formula>
    </cfRule>
  </conditionalFormatting>
  <conditionalFormatting sqref="A113">
    <cfRule type="expression" dxfId="1663" priority="7">
      <formula>kvartal &lt; 4</formula>
    </cfRule>
  </conditionalFormatting>
  <conditionalFormatting sqref="A121">
    <cfRule type="expression" dxfId="1662" priority="6">
      <formula>kvartal &lt; 4</formula>
    </cfRule>
  </conditionalFormatting>
  <conditionalFormatting sqref="A26">
    <cfRule type="expression" dxfId="1661" priority="5">
      <formula>kvartal &lt; 4</formula>
    </cfRule>
  </conditionalFormatting>
  <conditionalFormatting sqref="A29:A31">
    <cfRule type="expression" dxfId="1660" priority="4">
      <formula>kvartal &lt; 4</formula>
    </cfRule>
  </conditionalFormatting>
  <conditionalFormatting sqref="A78:A83">
    <cfRule type="expression" dxfId="1659" priority="3">
      <formula>kvartal &lt; 4</formula>
    </cfRule>
  </conditionalFormatting>
  <conditionalFormatting sqref="A88:A93">
    <cfRule type="expression" dxfId="1658" priority="2">
      <formula>kvartal &lt; 4</formula>
    </cfRule>
  </conditionalFormatting>
  <conditionalFormatting sqref="A99:A104">
    <cfRule type="expression" dxfId="1657" priority="1">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137</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302208</v>
      </c>
      <c r="C7" s="296">
        <v>210802</v>
      </c>
      <c r="D7" s="336">
        <f t="shared" ref="D7:D9" si="0">IF(B7=0, "    ---- ", IF(ABS(ROUND(100/B7*C7-100,1))&lt;999,ROUND(100/B7*C7-100,1),IF(ROUND(100/B7*C7-100,1)&gt;999,999,-999)))</f>
        <v>-30.2</v>
      </c>
      <c r="E7" s="11">
        <f>IFERROR(100/'Skjema total MA'!C7*C7,0)</f>
        <v>5.7606765401442361</v>
      </c>
      <c r="F7" s="295"/>
      <c r="G7" s="296"/>
      <c r="H7" s="336"/>
      <c r="I7" s="157"/>
      <c r="J7" s="297">
        <f t="shared" ref="J7:K9" si="1">SUM(B7,F7)</f>
        <v>302208</v>
      </c>
      <c r="K7" s="298">
        <f t="shared" si="1"/>
        <v>210802</v>
      </c>
      <c r="L7" s="410">
        <f>IF(J7=0, "    ---- ", IF(ABS(ROUND(100/J7*K7-100,1))&lt;999,ROUND(100/J7*K7-100,1),IF(ROUND(100/J7*K7-100,1)&gt;999,999,-999)))</f>
        <v>-30.2</v>
      </c>
      <c r="M7" s="11">
        <f>IFERROR(100/'Skjema total MA'!I7*K7,0)</f>
        <v>2.1115153180365644</v>
      </c>
      <c r="O7" s="145"/>
    </row>
    <row r="8" spans="1:15" ht="15.75" x14ac:dyDescent="0.2">
      <c r="A8" s="19" t="s">
        <v>26</v>
      </c>
      <c r="B8" s="278">
        <v>150607</v>
      </c>
      <c r="C8" s="279">
        <v>105265</v>
      </c>
      <c r="D8" s="163">
        <f t="shared" si="0"/>
        <v>-30.1</v>
      </c>
      <c r="E8" s="25">
        <f>IFERROR(100/'Skjema total MA'!C8*C8,0)</f>
        <v>5.337804226692521</v>
      </c>
      <c r="F8" s="653"/>
      <c r="G8" s="654"/>
      <c r="H8" s="163"/>
      <c r="I8" s="173"/>
      <c r="J8" s="232">
        <f t="shared" si="1"/>
        <v>150607</v>
      </c>
      <c r="K8" s="282">
        <f t="shared" si="1"/>
        <v>105265</v>
      </c>
      <c r="L8" s="253"/>
      <c r="M8" s="25">
        <f>IFERROR(100/'Skjema total MA'!I8*K8,0)</f>
        <v>5.337804226692521</v>
      </c>
      <c r="O8" s="145"/>
    </row>
    <row r="9" spans="1:15" ht="15.75" x14ac:dyDescent="0.2">
      <c r="A9" s="19" t="s">
        <v>25</v>
      </c>
      <c r="B9" s="278">
        <v>151601</v>
      </c>
      <c r="C9" s="279">
        <v>105537</v>
      </c>
      <c r="D9" s="163">
        <f t="shared" si="0"/>
        <v>-30.4</v>
      </c>
      <c r="E9" s="25">
        <f>IFERROR(100/'Skjema total MA'!C9*C9,0)</f>
        <v>11.75268764747406</v>
      </c>
      <c r="F9" s="653"/>
      <c r="G9" s="654"/>
      <c r="H9" s="163"/>
      <c r="I9" s="173"/>
      <c r="J9" s="232">
        <f t="shared" si="1"/>
        <v>151601</v>
      </c>
      <c r="K9" s="282">
        <f t="shared" si="1"/>
        <v>105537</v>
      </c>
      <c r="L9" s="253"/>
      <c r="M9" s="25">
        <f>IFERROR(100/'Skjema total MA'!I9*K9,0)</f>
        <v>11.75268764747406</v>
      </c>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656" priority="142">
      <formula>kvartal &lt; 4</formula>
    </cfRule>
  </conditionalFormatting>
  <conditionalFormatting sqref="B29">
    <cfRule type="expression" dxfId="1655" priority="140">
      <formula>kvartal &lt; 4</formula>
    </cfRule>
  </conditionalFormatting>
  <conditionalFormatting sqref="B30">
    <cfRule type="expression" dxfId="1654" priority="139">
      <formula>kvartal &lt; 4</formula>
    </cfRule>
  </conditionalFormatting>
  <conditionalFormatting sqref="B31">
    <cfRule type="expression" dxfId="1653" priority="138">
      <formula>kvartal &lt; 4</formula>
    </cfRule>
  </conditionalFormatting>
  <conditionalFormatting sqref="C29">
    <cfRule type="expression" dxfId="1652" priority="137">
      <formula>kvartal &lt; 4</formula>
    </cfRule>
  </conditionalFormatting>
  <conditionalFormatting sqref="C30">
    <cfRule type="expression" dxfId="1651" priority="136">
      <formula>kvartal &lt; 4</formula>
    </cfRule>
  </conditionalFormatting>
  <conditionalFormatting sqref="C31">
    <cfRule type="expression" dxfId="1650" priority="135">
      <formula>kvartal &lt; 4</formula>
    </cfRule>
  </conditionalFormatting>
  <conditionalFormatting sqref="B23:C25">
    <cfRule type="expression" dxfId="1649" priority="134">
      <formula>kvartal &lt; 4</formula>
    </cfRule>
  </conditionalFormatting>
  <conditionalFormatting sqref="F23:G25">
    <cfRule type="expression" dxfId="1648" priority="130">
      <formula>kvartal &lt; 4</formula>
    </cfRule>
  </conditionalFormatting>
  <conditionalFormatting sqref="F29">
    <cfRule type="expression" dxfId="1647" priority="123">
      <formula>kvartal &lt; 4</formula>
    </cfRule>
  </conditionalFormatting>
  <conditionalFormatting sqref="F30">
    <cfRule type="expression" dxfId="1646" priority="122">
      <formula>kvartal &lt; 4</formula>
    </cfRule>
  </conditionalFormatting>
  <conditionalFormatting sqref="F31">
    <cfRule type="expression" dxfId="1645" priority="121">
      <formula>kvartal &lt; 4</formula>
    </cfRule>
  </conditionalFormatting>
  <conditionalFormatting sqref="G29">
    <cfRule type="expression" dxfId="1644" priority="120">
      <formula>kvartal &lt; 4</formula>
    </cfRule>
  </conditionalFormatting>
  <conditionalFormatting sqref="G30">
    <cfRule type="expression" dxfId="1643" priority="119">
      <formula>kvartal &lt; 4</formula>
    </cfRule>
  </conditionalFormatting>
  <conditionalFormatting sqref="G31">
    <cfRule type="expression" dxfId="1642" priority="118">
      <formula>kvartal &lt; 4</formula>
    </cfRule>
  </conditionalFormatting>
  <conditionalFormatting sqref="B26">
    <cfRule type="expression" dxfId="1641" priority="117">
      <formula>kvartal &lt; 4</formula>
    </cfRule>
  </conditionalFormatting>
  <conditionalFormatting sqref="C26">
    <cfRule type="expression" dxfId="1640" priority="116">
      <formula>kvartal &lt; 4</formula>
    </cfRule>
  </conditionalFormatting>
  <conditionalFormatting sqref="F26">
    <cfRule type="expression" dxfId="1639" priority="115">
      <formula>kvartal &lt; 4</formula>
    </cfRule>
  </conditionalFormatting>
  <conditionalFormatting sqref="G26">
    <cfRule type="expression" dxfId="1638" priority="114">
      <formula>kvartal &lt; 4</formula>
    </cfRule>
  </conditionalFormatting>
  <conditionalFormatting sqref="J23:K26">
    <cfRule type="expression" dxfId="1637" priority="113">
      <formula>kvartal &lt; 4</formula>
    </cfRule>
  </conditionalFormatting>
  <conditionalFormatting sqref="J29:K31">
    <cfRule type="expression" dxfId="1636" priority="111">
      <formula>kvartal &lt; 4</formula>
    </cfRule>
  </conditionalFormatting>
  <conditionalFormatting sqref="B67">
    <cfRule type="expression" dxfId="1635" priority="110">
      <formula>kvartal &lt; 4</formula>
    </cfRule>
  </conditionalFormatting>
  <conditionalFormatting sqref="C67">
    <cfRule type="expression" dxfId="1634" priority="109">
      <formula>kvartal &lt; 4</formula>
    </cfRule>
  </conditionalFormatting>
  <conditionalFormatting sqref="B70">
    <cfRule type="expression" dxfId="1633" priority="108">
      <formula>kvartal &lt; 4</formula>
    </cfRule>
  </conditionalFormatting>
  <conditionalFormatting sqref="C70">
    <cfRule type="expression" dxfId="1632" priority="107">
      <formula>kvartal &lt; 4</formula>
    </cfRule>
  </conditionalFormatting>
  <conditionalFormatting sqref="B78">
    <cfRule type="expression" dxfId="1631" priority="106">
      <formula>kvartal &lt; 4</formula>
    </cfRule>
  </conditionalFormatting>
  <conditionalFormatting sqref="C78">
    <cfRule type="expression" dxfId="1630" priority="105">
      <formula>kvartal &lt; 4</formula>
    </cfRule>
  </conditionalFormatting>
  <conditionalFormatting sqref="B81">
    <cfRule type="expression" dxfId="1629" priority="104">
      <formula>kvartal &lt; 4</formula>
    </cfRule>
  </conditionalFormatting>
  <conditionalFormatting sqref="C81">
    <cfRule type="expression" dxfId="1628" priority="103">
      <formula>kvartal &lt; 4</formula>
    </cfRule>
  </conditionalFormatting>
  <conditionalFormatting sqref="B88">
    <cfRule type="expression" dxfId="1627" priority="94">
      <formula>kvartal &lt; 4</formula>
    </cfRule>
  </conditionalFormatting>
  <conditionalFormatting sqref="C88">
    <cfRule type="expression" dxfId="1626" priority="93">
      <formula>kvartal &lt; 4</formula>
    </cfRule>
  </conditionalFormatting>
  <conditionalFormatting sqref="B91">
    <cfRule type="expression" dxfId="1625" priority="92">
      <formula>kvartal &lt; 4</formula>
    </cfRule>
  </conditionalFormatting>
  <conditionalFormatting sqref="C91">
    <cfRule type="expression" dxfId="1624" priority="91">
      <formula>kvartal &lt; 4</formula>
    </cfRule>
  </conditionalFormatting>
  <conditionalFormatting sqref="B99">
    <cfRule type="expression" dxfId="1623" priority="90">
      <formula>kvartal &lt; 4</formula>
    </cfRule>
  </conditionalFormatting>
  <conditionalFormatting sqref="C99">
    <cfRule type="expression" dxfId="1622" priority="89">
      <formula>kvartal &lt; 4</formula>
    </cfRule>
  </conditionalFormatting>
  <conditionalFormatting sqref="B102">
    <cfRule type="expression" dxfId="1621" priority="88">
      <formula>kvartal &lt; 4</formula>
    </cfRule>
  </conditionalFormatting>
  <conditionalFormatting sqref="C102">
    <cfRule type="expression" dxfId="1620" priority="87">
      <formula>kvartal &lt; 4</formula>
    </cfRule>
  </conditionalFormatting>
  <conditionalFormatting sqref="B113">
    <cfRule type="expression" dxfId="1619" priority="86">
      <formula>kvartal &lt; 4</formula>
    </cfRule>
  </conditionalFormatting>
  <conditionalFormatting sqref="C113">
    <cfRule type="expression" dxfId="1618" priority="85">
      <formula>kvartal &lt; 4</formula>
    </cfRule>
  </conditionalFormatting>
  <conditionalFormatting sqref="B121">
    <cfRule type="expression" dxfId="1617" priority="84">
      <formula>kvartal &lt; 4</formula>
    </cfRule>
  </conditionalFormatting>
  <conditionalFormatting sqref="C121">
    <cfRule type="expression" dxfId="1616" priority="83">
      <formula>kvartal &lt; 4</formula>
    </cfRule>
  </conditionalFormatting>
  <conditionalFormatting sqref="F68">
    <cfRule type="expression" dxfId="1615" priority="82">
      <formula>kvartal &lt; 4</formula>
    </cfRule>
  </conditionalFormatting>
  <conditionalFormatting sqref="G68">
    <cfRule type="expression" dxfId="1614" priority="81">
      <formula>kvartal &lt; 4</formula>
    </cfRule>
  </conditionalFormatting>
  <conditionalFormatting sqref="F69:G69">
    <cfRule type="expression" dxfId="1613" priority="80">
      <formula>kvartal &lt; 4</formula>
    </cfRule>
  </conditionalFormatting>
  <conditionalFormatting sqref="F71:G72">
    <cfRule type="expression" dxfId="1612" priority="79">
      <formula>kvartal &lt; 4</formula>
    </cfRule>
  </conditionalFormatting>
  <conditionalFormatting sqref="F79:G80">
    <cfRule type="expression" dxfId="1611" priority="78">
      <formula>kvartal &lt; 4</formula>
    </cfRule>
  </conditionalFormatting>
  <conditionalFormatting sqref="F82:G83">
    <cfRule type="expression" dxfId="1610" priority="77">
      <formula>kvartal &lt; 4</formula>
    </cfRule>
  </conditionalFormatting>
  <conditionalFormatting sqref="F89:G90">
    <cfRule type="expression" dxfId="1609" priority="72">
      <formula>kvartal &lt; 4</formula>
    </cfRule>
  </conditionalFormatting>
  <conditionalFormatting sqref="F92:G93">
    <cfRule type="expression" dxfId="1608" priority="71">
      <formula>kvartal &lt; 4</formula>
    </cfRule>
  </conditionalFormatting>
  <conditionalFormatting sqref="F100:G101">
    <cfRule type="expression" dxfId="1607" priority="70">
      <formula>kvartal &lt; 4</formula>
    </cfRule>
  </conditionalFormatting>
  <conditionalFormatting sqref="F103:G104">
    <cfRule type="expression" dxfId="1606" priority="69">
      <formula>kvartal &lt; 4</formula>
    </cfRule>
  </conditionalFormatting>
  <conditionalFormatting sqref="F113">
    <cfRule type="expression" dxfId="1605" priority="68">
      <formula>kvartal &lt; 4</formula>
    </cfRule>
  </conditionalFormatting>
  <conditionalFormatting sqref="G113">
    <cfRule type="expression" dxfId="1604" priority="67">
      <formula>kvartal &lt; 4</formula>
    </cfRule>
  </conditionalFormatting>
  <conditionalFormatting sqref="F121:G121">
    <cfRule type="expression" dxfId="1603" priority="66">
      <formula>kvartal &lt; 4</formula>
    </cfRule>
  </conditionalFormatting>
  <conditionalFormatting sqref="F67:G67">
    <cfRule type="expression" dxfId="1602" priority="65">
      <formula>kvartal &lt; 4</formula>
    </cfRule>
  </conditionalFormatting>
  <conditionalFormatting sqref="F70:G70">
    <cfRule type="expression" dxfId="1601" priority="64">
      <formula>kvartal &lt; 4</formula>
    </cfRule>
  </conditionalFormatting>
  <conditionalFormatting sqref="F78:G78">
    <cfRule type="expression" dxfId="1600" priority="63">
      <formula>kvartal &lt; 4</formula>
    </cfRule>
  </conditionalFormatting>
  <conditionalFormatting sqref="F81:G81">
    <cfRule type="expression" dxfId="1599" priority="62">
      <formula>kvartal &lt; 4</formula>
    </cfRule>
  </conditionalFormatting>
  <conditionalFormatting sqref="F88:G88">
    <cfRule type="expression" dxfId="1598" priority="56">
      <formula>kvartal &lt; 4</formula>
    </cfRule>
  </conditionalFormatting>
  <conditionalFormatting sqref="F91">
    <cfRule type="expression" dxfId="1597" priority="55">
      <formula>kvartal &lt; 4</formula>
    </cfRule>
  </conditionalFormatting>
  <conditionalFormatting sqref="G91">
    <cfRule type="expression" dxfId="1596" priority="54">
      <formula>kvartal &lt; 4</formula>
    </cfRule>
  </conditionalFormatting>
  <conditionalFormatting sqref="F99">
    <cfRule type="expression" dxfId="1595" priority="53">
      <formula>kvartal &lt; 4</formula>
    </cfRule>
  </conditionalFormatting>
  <conditionalFormatting sqref="G99">
    <cfRule type="expression" dxfId="1594" priority="52">
      <formula>kvartal &lt; 4</formula>
    </cfRule>
  </conditionalFormatting>
  <conditionalFormatting sqref="G102">
    <cfRule type="expression" dxfId="1593" priority="51">
      <formula>kvartal &lt; 4</formula>
    </cfRule>
  </conditionalFormatting>
  <conditionalFormatting sqref="F102">
    <cfRule type="expression" dxfId="1592" priority="50">
      <formula>kvartal &lt; 4</formula>
    </cfRule>
  </conditionalFormatting>
  <conditionalFormatting sqref="J67:K71">
    <cfRule type="expression" dxfId="1591" priority="49">
      <formula>kvartal &lt; 4</formula>
    </cfRule>
  </conditionalFormatting>
  <conditionalFormatting sqref="J72:K72">
    <cfRule type="expression" dxfId="1590" priority="48">
      <formula>kvartal &lt; 4</formula>
    </cfRule>
  </conditionalFormatting>
  <conditionalFormatting sqref="J78:K83">
    <cfRule type="expression" dxfId="1589" priority="47">
      <formula>kvartal &lt; 4</formula>
    </cfRule>
  </conditionalFormatting>
  <conditionalFormatting sqref="J88:K93">
    <cfRule type="expression" dxfId="1588" priority="44">
      <formula>kvartal &lt; 4</formula>
    </cfRule>
  </conditionalFormatting>
  <conditionalFormatting sqref="J99:K104">
    <cfRule type="expression" dxfId="1587" priority="43">
      <formula>kvartal &lt; 4</formula>
    </cfRule>
  </conditionalFormatting>
  <conditionalFormatting sqref="J113:K113">
    <cfRule type="expression" dxfId="1586" priority="42">
      <formula>kvartal &lt; 4</formula>
    </cfRule>
  </conditionalFormatting>
  <conditionalFormatting sqref="J121:K121">
    <cfRule type="expression" dxfId="1585" priority="41">
      <formula>kvartal &lt; 4</formula>
    </cfRule>
  </conditionalFormatting>
  <conditionalFormatting sqref="A23:A25">
    <cfRule type="expression" dxfId="1584" priority="10">
      <formula>kvartal &lt; 4</formula>
    </cfRule>
  </conditionalFormatting>
  <conditionalFormatting sqref="A48:A50">
    <cfRule type="expression" dxfId="1583" priority="9">
      <formula>kvartal &lt; 4</formula>
    </cfRule>
  </conditionalFormatting>
  <conditionalFormatting sqref="A67:A72">
    <cfRule type="expression" dxfId="1582" priority="8">
      <formula>kvartal &lt; 4</formula>
    </cfRule>
  </conditionalFormatting>
  <conditionalFormatting sqref="A113">
    <cfRule type="expression" dxfId="1581" priority="7">
      <formula>kvartal &lt; 4</formula>
    </cfRule>
  </conditionalFormatting>
  <conditionalFormatting sqref="A121">
    <cfRule type="expression" dxfId="1580" priority="6">
      <formula>kvartal &lt; 4</formula>
    </cfRule>
  </conditionalFormatting>
  <conditionalFormatting sqref="A26">
    <cfRule type="expression" dxfId="1579" priority="5">
      <formula>kvartal &lt; 4</formula>
    </cfRule>
  </conditionalFormatting>
  <conditionalFormatting sqref="A29:A31">
    <cfRule type="expression" dxfId="1578" priority="4">
      <formula>kvartal &lt; 4</formula>
    </cfRule>
  </conditionalFormatting>
  <conditionalFormatting sqref="A78:A83">
    <cfRule type="expression" dxfId="1577" priority="3">
      <formula>kvartal &lt; 4</formula>
    </cfRule>
  </conditionalFormatting>
  <conditionalFormatting sqref="A88:A93">
    <cfRule type="expression" dxfId="1576" priority="2">
      <formula>kvartal &lt; 4</formula>
    </cfRule>
  </conditionalFormatting>
  <conditionalFormatting sqref="A99:A104">
    <cfRule type="expression" dxfId="1575" priority="1">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8" x14ac:dyDescent="0.2">
      <c r="A1" s="169" t="s">
        <v>150</v>
      </c>
      <c r="B1" s="420"/>
      <c r="C1" s="247" t="s">
        <v>138</v>
      </c>
      <c r="D1" s="24"/>
      <c r="E1" s="24"/>
      <c r="F1" s="24"/>
      <c r="G1" s="24"/>
      <c r="H1" s="24"/>
      <c r="I1" s="24"/>
      <c r="J1" s="24"/>
      <c r="K1" s="24"/>
      <c r="L1" s="24"/>
      <c r="M1" s="24"/>
      <c r="O1" s="409"/>
    </row>
    <row r="2" spans="1:18" ht="15.75" x14ac:dyDescent="0.25">
      <c r="A2" s="162" t="s">
        <v>29</v>
      </c>
      <c r="B2" s="693"/>
      <c r="C2" s="693"/>
      <c r="D2" s="693"/>
      <c r="E2" s="288"/>
      <c r="F2" s="693"/>
      <c r="G2" s="693"/>
      <c r="H2" s="693"/>
      <c r="I2" s="288"/>
      <c r="J2" s="693"/>
      <c r="K2" s="693"/>
      <c r="L2" s="693"/>
      <c r="M2" s="288"/>
      <c r="O2" s="145"/>
    </row>
    <row r="3" spans="1:18" ht="15.75" x14ac:dyDescent="0.25">
      <c r="A3" s="160"/>
      <c r="B3" s="288"/>
      <c r="C3" s="288"/>
      <c r="D3" s="288"/>
      <c r="E3" s="288"/>
      <c r="F3" s="288"/>
      <c r="G3" s="288"/>
      <c r="H3" s="288"/>
      <c r="I3" s="288"/>
      <c r="J3" s="288"/>
      <c r="K3" s="288"/>
      <c r="L3" s="288"/>
      <c r="M3" s="288"/>
      <c r="O3" s="145"/>
    </row>
    <row r="4" spans="1:18" x14ac:dyDescent="0.2">
      <c r="A4" s="141"/>
      <c r="B4" s="690" t="s">
        <v>0</v>
      </c>
      <c r="C4" s="691"/>
      <c r="D4" s="691"/>
      <c r="E4" s="290"/>
      <c r="F4" s="690" t="s">
        <v>1</v>
      </c>
      <c r="G4" s="691"/>
      <c r="H4" s="691"/>
      <c r="I4" s="293"/>
      <c r="J4" s="690" t="s">
        <v>2</v>
      </c>
      <c r="K4" s="691"/>
      <c r="L4" s="691"/>
      <c r="M4" s="293"/>
      <c r="O4" s="145"/>
    </row>
    <row r="5" spans="1:18"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8" x14ac:dyDescent="0.2">
      <c r="A6" s="421"/>
      <c r="B6" s="153"/>
      <c r="C6" s="153"/>
      <c r="D6" s="245" t="s">
        <v>4</v>
      </c>
      <c r="E6" s="153" t="s">
        <v>31</v>
      </c>
      <c r="F6" s="158"/>
      <c r="G6" s="158"/>
      <c r="H6" s="244" t="s">
        <v>4</v>
      </c>
      <c r="I6" s="153" t="s">
        <v>31</v>
      </c>
      <c r="J6" s="158"/>
      <c r="K6" s="158"/>
      <c r="L6" s="244" t="s">
        <v>4</v>
      </c>
      <c r="M6" s="153" t="s">
        <v>31</v>
      </c>
      <c r="O6" s="145"/>
    </row>
    <row r="7" spans="1:18" ht="15.75" x14ac:dyDescent="0.2">
      <c r="A7" s="14" t="s">
        <v>24</v>
      </c>
      <c r="B7" s="295">
        <v>234959</v>
      </c>
      <c r="C7" s="296">
        <v>264192</v>
      </c>
      <c r="D7" s="336">
        <f t="shared" ref="D7:D10" si="0">IF(B7=0, "    ---- ", IF(ABS(ROUND(100/B7*C7-100,1))&lt;999,ROUND(100/B7*C7-100,1),IF(ROUND(100/B7*C7-100,1)&gt;999,999,-999)))</f>
        <v>12.4</v>
      </c>
      <c r="E7" s="11">
        <f>IFERROR(100/'Skjema total MA'!C7*C7,0)</f>
        <v>7.2196879369919928</v>
      </c>
      <c r="F7" s="295"/>
      <c r="G7" s="296"/>
      <c r="H7" s="336"/>
      <c r="I7" s="157"/>
      <c r="J7" s="297">
        <f t="shared" ref="J7:K10" si="1">SUM(B7,F7)</f>
        <v>234959</v>
      </c>
      <c r="K7" s="298">
        <f t="shared" si="1"/>
        <v>264192</v>
      </c>
      <c r="L7" s="410">
        <f>IF(J7=0, "    ---- ", IF(ABS(ROUND(100/J7*K7-100,1))&lt;999,ROUND(100/J7*K7-100,1),IF(ROUND(100/J7*K7-100,1)&gt;999,999,-999)))</f>
        <v>12.4</v>
      </c>
      <c r="M7" s="11">
        <f>IFERROR(100/'Skjema total MA'!I7*K7,0)</f>
        <v>2.6463005801781576</v>
      </c>
      <c r="O7" s="145"/>
    </row>
    <row r="8" spans="1:18" ht="15.75" x14ac:dyDescent="0.2">
      <c r="A8" s="19" t="s">
        <v>26</v>
      </c>
      <c r="B8" s="278">
        <v>121884</v>
      </c>
      <c r="C8" s="279">
        <v>139070.70000000001</v>
      </c>
      <c r="D8" s="163">
        <f t="shared" si="0"/>
        <v>14.1</v>
      </c>
      <c r="E8" s="25">
        <f>IFERROR(100/'Skjema total MA'!C8*C8,0)</f>
        <v>7.0520322069927097</v>
      </c>
      <c r="F8" s="653"/>
      <c r="G8" s="654"/>
      <c r="H8" s="163"/>
      <c r="I8" s="173"/>
      <c r="J8" s="232">
        <f t="shared" si="1"/>
        <v>121884</v>
      </c>
      <c r="K8" s="282">
        <f t="shared" si="1"/>
        <v>139070.70000000001</v>
      </c>
      <c r="L8" s="253"/>
      <c r="M8" s="25">
        <f>IFERROR(100/'Skjema total MA'!I8*K8,0)</f>
        <v>7.0520322069927097</v>
      </c>
      <c r="O8" s="145"/>
    </row>
    <row r="9" spans="1:18" ht="15.75" x14ac:dyDescent="0.2">
      <c r="A9" s="19" t="s">
        <v>25</v>
      </c>
      <c r="B9" s="278">
        <v>113075</v>
      </c>
      <c r="C9" s="279">
        <v>125121.5</v>
      </c>
      <c r="D9" s="163">
        <f t="shared" si="0"/>
        <v>10.7</v>
      </c>
      <c r="E9" s="25">
        <f>IFERROR(100/'Skjema total MA'!C9*C9,0)</f>
        <v>13.93363377283252</v>
      </c>
      <c r="F9" s="653"/>
      <c r="G9" s="654"/>
      <c r="H9" s="163"/>
      <c r="I9" s="173"/>
      <c r="J9" s="232">
        <f t="shared" si="1"/>
        <v>113075</v>
      </c>
      <c r="K9" s="282">
        <f t="shared" si="1"/>
        <v>125121.5</v>
      </c>
      <c r="L9" s="253"/>
      <c r="M9" s="25">
        <f>IFERROR(100/'Skjema total MA'!I9*K9,0)</f>
        <v>13.93363377283252</v>
      </c>
      <c r="O9" s="145"/>
    </row>
    <row r="10" spans="1:18" ht="15.75" x14ac:dyDescent="0.2">
      <c r="A10" s="13" t="s">
        <v>398</v>
      </c>
      <c r="B10" s="299">
        <v>256657</v>
      </c>
      <c r="C10" s="300">
        <v>304130</v>
      </c>
      <c r="D10" s="168">
        <f t="shared" si="0"/>
        <v>18.5</v>
      </c>
      <c r="E10" s="11">
        <f>IFERROR(100/'Skjema total MA'!C10*C10,0)</f>
        <v>1.3526542292306354</v>
      </c>
      <c r="F10" s="299"/>
      <c r="G10" s="300"/>
      <c r="H10" s="168"/>
      <c r="I10" s="157"/>
      <c r="J10" s="297">
        <f t="shared" si="1"/>
        <v>256657</v>
      </c>
      <c r="K10" s="298">
        <f t="shared" si="1"/>
        <v>304130</v>
      </c>
      <c r="L10" s="411">
        <f>IF(J10=0, "    ---- ", IF(ABS(ROUND(100/J10*K10-100,1))&lt;999,ROUND(100/J10*K10-100,1),IF(ROUND(100/J10*K10-100,1)&gt;999,999,-999)))</f>
        <v>18.5</v>
      </c>
      <c r="M10" s="11">
        <f>IFERROR(100/'Skjema total MA'!I10*K10,0)</f>
        <v>0.49405786510639466</v>
      </c>
      <c r="O10" s="145"/>
    </row>
    <row r="11" spans="1:18" s="41" customFormat="1" ht="15.75" x14ac:dyDescent="0.2">
      <c r="A11" s="13" t="s">
        <v>399</v>
      </c>
      <c r="B11" s="299"/>
      <c r="C11" s="300"/>
      <c r="D11" s="168"/>
      <c r="E11" s="11"/>
      <c r="F11" s="299"/>
      <c r="G11" s="300"/>
      <c r="H11" s="168"/>
      <c r="I11" s="157"/>
      <c r="J11" s="297"/>
      <c r="K11" s="298"/>
      <c r="L11" s="411"/>
      <c r="M11" s="11"/>
      <c r="N11" s="140"/>
      <c r="O11" s="145"/>
      <c r="R11" s="140"/>
    </row>
    <row r="12" spans="1:18" s="41" customFormat="1" ht="15.75" x14ac:dyDescent="0.2">
      <c r="A12" s="39" t="s">
        <v>400</v>
      </c>
      <c r="B12" s="301"/>
      <c r="C12" s="302"/>
      <c r="D12" s="166"/>
      <c r="E12" s="34"/>
      <c r="F12" s="301"/>
      <c r="G12" s="302"/>
      <c r="H12" s="166"/>
      <c r="I12" s="166"/>
      <c r="J12" s="303"/>
      <c r="K12" s="304"/>
      <c r="L12" s="412"/>
      <c r="M12" s="34"/>
      <c r="N12" s="140"/>
      <c r="O12" s="145"/>
    </row>
    <row r="13" spans="1:18" s="41" customFormat="1" x14ac:dyDescent="0.2">
      <c r="A13" s="165"/>
      <c r="B13" s="142"/>
      <c r="C13" s="31"/>
      <c r="D13" s="156"/>
      <c r="E13" s="156"/>
      <c r="F13" s="142"/>
      <c r="G13" s="31"/>
      <c r="H13" s="156"/>
      <c r="I13" s="156"/>
      <c r="J13" s="46"/>
      <c r="K13" s="46"/>
      <c r="L13" s="156"/>
      <c r="M13" s="156"/>
      <c r="N13" s="140"/>
      <c r="O13" s="409"/>
    </row>
    <row r="14" spans="1:18" x14ac:dyDescent="0.2">
      <c r="A14" s="150" t="s">
        <v>292</v>
      </c>
      <c r="B14" s="24"/>
      <c r="O14" s="145"/>
    </row>
    <row r="15" spans="1:18" x14ac:dyDescent="0.2">
      <c r="F15" s="143"/>
      <c r="G15" s="143"/>
      <c r="H15" s="143"/>
      <c r="I15" s="143"/>
      <c r="J15" s="143"/>
      <c r="K15" s="143"/>
      <c r="L15" s="143"/>
      <c r="M15" s="143"/>
      <c r="O15" s="145"/>
    </row>
    <row r="16" spans="1:18"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120141</v>
      </c>
      <c r="C22" s="306">
        <v>124516</v>
      </c>
      <c r="D22" s="336">
        <f t="shared" ref="D22:D28" si="2">IF(B22=0, "    ---- ", IF(ABS(ROUND(100/B22*C22-100,1))&lt;999,ROUND(100/B22*C22-100,1),IF(ROUND(100/B22*C22-100,1)&gt;999,999,-999)))</f>
        <v>3.6</v>
      </c>
      <c r="E22" s="11">
        <f>IFERROR(100/'Skjema total MA'!C22*C22,0)</f>
        <v>9.7519965970533118</v>
      </c>
      <c r="F22" s="307">
        <v>4801</v>
      </c>
      <c r="G22" s="306">
        <v>4466</v>
      </c>
      <c r="H22" s="336">
        <f>IF(F22=0, "    ---- ", IF(ABS(ROUND(100/F22*G22-100,1))&lt;999,ROUND(100/F22*G22-100,1),IF(ROUND(100/F22*G22-100,1)&gt;999,999,-999)))</f>
        <v>-7</v>
      </c>
      <c r="I22" s="11">
        <f>IFERROR(100/'Skjema total MA'!F22*G22,0)</f>
        <v>1.6079911812201544</v>
      </c>
      <c r="J22" s="305">
        <f>SUM(B22,F22)</f>
        <v>124942</v>
      </c>
      <c r="K22" s="305">
        <f>SUM(C22,G22)</f>
        <v>128982</v>
      </c>
      <c r="L22" s="410">
        <f>IF(J22=0, "    ---- ", IF(ABS(ROUND(100/J22*K22-100,1))&lt;999,ROUND(100/J22*K22-100,1),IF(ROUND(100/J22*K22-100,1)&gt;999,999,-999)))</f>
        <v>3.2</v>
      </c>
      <c r="M22" s="22">
        <f>IFERROR(100/'Skjema total MA'!I22*K22,0)</f>
        <v>8.296991119296905</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119541</v>
      </c>
      <c r="C27" s="282">
        <v>123916</v>
      </c>
      <c r="D27" s="163">
        <f t="shared" si="2"/>
        <v>3.7</v>
      </c>
      <c r="E27" s="25">
        <f>IFERROR(100/'Skjema total MA'!C27*C27,0)</f>
        <v>9.6384112311916272</v>
      </c>
      <c r="F27" s="232"/>
      <c r="G27" s="282"/>
      <c r="H27" s="163"/>
      <c r="I27" s="25"/>
      <c r="J27" s="42">
        <f>SUM(B27,F27)</f>
        <v>119541</v>
      </c>
      <c r="K27" s="42">
        <f>SUM(C27,G27)</f>
        <v>123916</v>
      </c>
      <c r="L27" s="253">
        <f>IF(J27=0, "    ---- ", IF(ABS(ROUND(100/J27*K27-100,1))&lt;999,ROUND(100/J27*K27-100,1),IF(ROUND(100/J27*K27-100,1)&gt;999,999,-999)))</f>
        <v>3.7</v>
      </c>
      <c r="M27" s="21">
        <f>IFERROR(100/'Skjema total MA'!I27*K27,0)</f>
        <v>9.6384112311916272</v>
      </c>
      <c r="O27" s="145"/>
    </row>
    <row r="28" spans="1:15" s="3" customFormat="1" ht="15.75" x14ac:dyDescent="0.2">
      <c r="A28" s="13" t="s">
        <v>398</v>
      </c>
      <c r="B28" s="234">
        <v>344057</v>
      </c>
      <c r="C28" s="298">
        <v>409967</v>
      </c>
      <c r="D28" s="168">
        <f t="shared" si="2"/>
        <v>19.2</v>
      </c>
      <c r="E28" s="11">
        <f>IFERROR(100/'Skjema total MA'!C28*C28,0)</f>
        <v>0.80216907691414896</v>
      </c>
      <c r="F28" s="297">
        <v>75905</v>
      </c>
      <c r="G28" s="298">
        <v>102018.3</v>
      </c>
      <c r="H28" s="168">
        <f>IF(F28=0, "    ---- ", IF(ABS(ROUND(100/F28*G28-100,1))&lt;999,ROUND(100/F28*G28-100,1),IF(ROUND(100/F28*G28-100,1)&gt;999,999,-999)))</f>
        <v>34.4</v>
      </c>
      <c r="I28" s="11">
        <f>IFERROR(100/'Skjema total MA'!F28*G28,0)</f>
        <v>0.52215817504751327</v>
      </c>
      <c r="J28" s="234">
        <f>SUM(B28,F28)</f>
        <v>419962</v>
      </c>
      <c r="K28" s="234">
        <f>SUM(C28,G28)</f>
        <v>511985.3</v>
      </c>
      <c r="L28" s="411">
        <f>IF(J28=0, "    ---- ", IF(ABS(ROUND(100/J28*K28-100,1))&lt;999,ROUND(100/J28*K28-100,1),IF(ROUND(100/J28*K28-100,1)&gt;999,999,-999)))</f>
        <v>21.9</v>
      </c>
      <c r="M28" s="22">
        <f>IFERROR(100/'Skjema total MA'!I28*K28,0)</f>
        <v>0.72472846622113629</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28500</v>
      </c>
      <c r="C45" s="300">
        <v>29804.799999999999</v>
      </c>
      <c r="D45" s="410">
        <f t="shared" ref="D45:D46" si="3">IF(B45=0, "    ---- ", IF(ABS(ROUND(100/B45*C45-100,1))&lt;999,ROUND(100/B45*C45-100,1),IF(ROUND(100/B45*C45-100,1)&gt;999,999,-999)))</f>
        <v>4.5999999999999996</v>
      </c>
      <c r="E45" s="11">
        <f>IFERROR(100/'Skjema total MA'!C45*C45,0)</f>
        <v>0.89281697290341855</v>
      </c>
      <c r="F45" s="142"/>
      <c r="G45" s="31"/>
      <c r="H45" s="156"/>
      <c r="I45" s="156"/>
      <c r="J45" s="35"/>
      <c r="K45" s="35"/>
      <c r="L45" s="156"/>
      <c r="M45" s="156"/>
      <c r="N45" s="145"/>
      <c r="O45" s="145"/>
    </row>
    <row r="46" spans="1:15" s="3" customFormat="1" ht="15.75" x14ac:dyDescent="0.2">
      <c r="A46" s="36" t="s">
        <v>407</v>
      </c>
      <c r="B46" s="278">
        <v>28500</v>
      </c>
      <c r="C46" s="279">
        <v>29804.799999999999</v>
      </c>
      <c r="D46" s="253">
        <f t="shared" si="3"/>
        <v>4.5999999999999996</v>
      </c>
      <c r="E46" s="25">
        <f>IFERROR(100/'Skjema total MA'!C46*C46,0)</f>
        <v>1.6375484813474885</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70423</v>
      </c>
      <c r="C64" s="338">
        <v>74479</v>
      </c>
      <c r="D64" s="336">
        <f>IF(B64=0, "    ---- ", IF(ABS(ROUND(100/B64*C64-100,1))&lt;999,ROUND(100/B64*C64-100,1),IF(ROUND(100/B64*C64-100,1)&gt;999,999,-999)))</f>
        <v>5.8</v>
      </c>
      <c r="E64" s="11">
        <f>IFERROR(100/'Skjema total MA'!C64*C64,0)</f>
        <v>1.0972748050989813</v>
      </c>
      <c r="F64" s="337">
        <v>221925</v>
      </c>
      <c r="G64" s="337">
        <v>250850</v>
      </c>
      <c r="H64" s="336">
        <f>IF(F64=0, "    ---- ", IF(ABS(ROUND(100/F64*G64-100,1))&lt;999,ROUND(100/F64*G64-100,1),IF(ROUND(100/F64*G64-100,1)&gt;999,999,-999)))</f>
        <v>13</v>
      </c>
      <c r="I64" s="11">
        <f>IFERROR(100/'Skjema total MA'!F64*G64,0)</f>
        <v>1.2743293538581584</v>
      </c>
      <c r="J64" s="298">
        <f t="shared" ref="J64:K66" si="4">SUM(B64,F64)</f>
        <v>292348</v>
      </c>
      <c r="K64" s="305">
        <f t="shared" si="4"/>
        <v>325329</v>
      </c>
      <c r="L64" s="411">
        <f>IF(J64=0, "    ---- ", IF(ABS(ROUND(100/J64*K64-100,1))&lt;999,ROUND(100/J64*K64-100,1),IF(ROUND(100/J64*K64-100,1)&gt;999,999,-999)))</f>
        <v>11.3</v>
      </c>
      <c r="M64" s="11">
        <f>IFERROR(100/'Skjema total MA'!I64*K64,0)</f>
        <v>1.2289319945739083</v>
      </c>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v>70423</v>
      </c>
      <c r="C66" s="285">
        <v>74479</v>
      </c>
      <c r="D66" s="163">
        <f>IF(B66=0, "    ---- ", IF(ABS(ROUND(100/B66*C66-100,1))&lt;999,ROUND(100/B66*C66-100,1),IF(ROUND(100/B66*C66-100,1)&gt;999,999,-999)))</f>
        <v>5.8</v>
      </c>
      <c r="E66" s="25">
        <f>IFERROR(100/'Skjema total MA'!C66*C66,0)</f>
        <v>53.989669611295824</v>
      </c>
      <c r="F66" s="284">
        <v>221925</v>
      </c>
      <c r="G66" s="285">
        <v>250850</v>
      </c>
      <c r="H66" s="163">
        <f>IF(F66=0, "    ---- ", IF(ABS(ROUND(100/F66*G66-100,1))&lt;999,ROUND(100/F66*G66-100,1),IF(ROUND(100/F66*G66-100,1)&gt;999,999,-999)))</f>
        <v>13</v>
      </c>
      <c r="I66" s="25">
        <f>IFERROR(100/'Skjema total MA'!F66*G66,0)</f>
        <v>1.2889062423092907</v>
      </c>
      <c r="J66" s="282">
        <f t="shared" si="4"/>
        <v>292348</v>
      </c>
      <c r="K66" s="42">
        <f t="shared" si="4"/>
        <v>325329</v>
      </c>
      <c r="L66" s="253">
        <f>IF(J66=0, "    ---- ", IF(ABS(ROUND(100/J66*K66-100,1))&lt;999,ROUND(100/J66*K66-100,1),IF(ROUND(100/J66*K66-100,1)&gt;999,999,-999)))</f>
        <v>11.3</v>
      </c>
      <c r="M66" s="25">
        <f>IFERROR(100/'Skjema total MA'!I66*K66,0)</f>
        <v>1.6598258797428502</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v>70423</v>
      </c>
      <c r="C75" s="232">
        <v>74479</v>
      </c>
      <c r="D75" s="163">
        <f>IF(B75=0, "    ---- ", IF(ABS(ROUND(100/B75*C75-100,1))&lt;999,ROUND(100/B75*C75-100,1),IF(ROUND(100/B75*C75-100,1)&gt;999,999,-999)))</f>
        <v>5.8</v>
      </c>
      <c r="E75" s="25">
        <f>IFERROR(100/'Skjema total MA'!C75*C75,0)</f>
        <v>1.1660334651958522</v>
      </c>
      <c r="F75" s="232">
        <v>221925</v>
      </c>
      <c r="G75" s="142">
        <v>250850</v>
      </c>
      <c r="H75" s="163">
        <f>IF(F75=0, "    ---- ", IF(ABS(ROUND(100/F75*G75-100,1))&lt;999,ROUND(100/F75*G75-100,1),IF(ROUND(100/F75*G75-100,1)&gt;999,999,-999)))</f>
        <v>13</v>
      </c>
      <c r="I75" s="25">
        <f>IFERROR(100/'Skjema total MA'!F75*G75,0)</f>
        <v>1.2895498896126569</v>
      </c>
      <c r="J75" s="282">
        <f t="shared" ref="J75:K77" si="5">SUM(B75,F75)</f>
        <v>292348</v>
      </c>
      <c r="K75" s="42">
        <f t="shared" si="5"/>
        <v>325329</v>
      </c>
      <c r="L75" s="253">
        <f>IF(J75=0, "    ---- ", IF(ABS(ROUND(100/J75*K75-100,1))&lt;999,ROUND(100/J75*K75-100,1),IF(ROUND(100/J75*K75-100,1)&gt;999,999,-999)))</f>
        <v>11.3</v>
      </c>
      <c r="M75" s="25">
        <f>IFERROR(100/'Skjema total MA'!I75*K75,0)</f>
        <v>1.2590177933599938</v>
      </c>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v>70423</v>
      </c>
      <c r="C77" s="285">
        <v>74479</v>
      </c>
      <c r="D77" s="163">
        <f>IF(B77=0, "    ---- ", IF(ABS(ROUND(100/B77*C77-100,1))&lt;999,ROUND(100/B77*C77-100,1),IF(ROUND(100/B77*C77-100,1)&gt;999,999,-999)))</f>
        <v>5.8</v>
      </c>
      <c r="E77" s="25">
        <f>IFERROR(100/'Skjema total MA'!C77*C77,0)</f>
        <v>55.238184521106994</v>
      </c>
      <c r="F77" s="284">
        <v>221925</v>
      </c>
      <c r="G77" s="285">
        <v>250850</v>
      </c>
      <c r="H77" s="163">
        <f>IF(F77=0, "    ---- ", IF(ABS(ROUND(100/F77*G77-100,1))&lt;999,ROUND(100/F77*G77-100,1),IF(ROUND(100/F77*G77-100,1)&gt;999,999,-999)))</f>
        <v>13</v>
      </c>
      <c r="I77" s="25">
        <f>IFERROR(100/'Skjema total MA'!F77*G77,0)</f>
        <v>1.2895498896126569</v>
      </c>
      <c r="J77" s="282">
        <f t="shared" si="5"/>
        <v>292348</v>
      </c>
      <c r="K77" s="42">
        <f t="shared" si="5"/>
        <v>325329</v>
      </c>
      <c r="L77" s="253">
        <f>IF(J77=0, "    ---- ", IF(ABS(ROUND(100/J77*K77-100,1))&lt;999,ROUND(100/J77*K77-100,1),IF(ROUND(100/J77*K77-100,1)&gt;999,999,-999)))</f>
        <v>11.3</v>
      </c>
      <c r="M77" s="25">
        <f>IFERROR(100/'Skjema total MA'!I77*K77,0)</f>
        <v>1.6609132683847485</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v>137446</v>
      </c>
      <c r="C85" s="338">
        <v>168046</v>
      </c>
      <c r="D85" s="168">
        <f>IF(B85=0, "    ---- ", IF(ABS(ROUND(100/B85*C85-100,1))&lt;999,ROUND(100/B85*C85-100,1),IF(ROUND(100/B85*C85-100,1)&gt;999,999,-999)))</f>
        <v>22.3</v>
      </c>
      <c r="E85" s="11">
        <f>IFERROR(100/'Skjema total MA'!C85*C85,0)</f>
        <v>4.4732202919533302E-2</v>
      </c>
      <c r="F85" s="337">
        <v>2424520</v>
      </c>
      <c r="G85" s="337">
        <v>2920509.5</v>
      </c>
      <c r="H85" s="168">
        <f>IF(F85=0, "    ---- ", IF(ABS(ROUND(100/F85*G85-100,1))&lt;999,ROUND(100/F85*G85-100,1),IF(ROUND(100/F85*G85-100,1)&gt;999,999,-999)))</f>
        <v>20.5</v>
      </c>
      <c r="I85" s="11">
        <f>IFERROR(100/'Skjema total MA'!F85*G85,0)</f>
        <v>1.3872279656448767</v>
      </c>
      <c r="J85" s="298">
        <f t="shared" ref="J85:K87" si="6">SUM(B85,F85)</f>
        <v>2561966</v>
      </c>
      <c r="K85" s="234">
        <f t="shared" si="6"/>
        <v>3088555.5</v>
      </c>
      <c r="L85" s="411">
        <f>IF(J85=0, "    ---- ", IF(ABS(ROUND(100/J85*K85-100,1))&lt;999,ROUND(100/J85*K85-100,1),IF(ROUND(100/J85*K85-100,1)&gt;999,999,-999)))</f>
        <v>20.6</v>
      </c>
      <c r="M85" s="11">
        <f>IFERROR(100/'Skjema total MA'!I85*K85,0)</f>
        <v>0.52687775471804543</v>
      </c>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v>137446</v>
      </c>
      <c r="C87" s="142">
        <v>168046</v>
      </c>
      <c r="D87" s="163">
        <f>IF(B87=0, "    ---- ", IF(ABS(ROUND(100/B87*C87-100,1))&lt;999,ROUND(100/B87*C87-100,1),IF(ROUND(100/B87*C87-100,1)&gt;999,999,-999)))</f>
        <v>22.3</v>
      </c>
      <c r="E87" s="25">
        <f>IFERROR(100/'Skjema total MA'!C87*C87,0)</f>
        <v>6.7163738937386599</v>
      </c>
      <c r="F87" s="232">
        <v>2424520</v>
      </c>
      <c r="G87" s="142">
        <v>2920509.5</v>
      </c>
      <c r="H87" s="163">
        <f>IF(F87=0, "    ---- ", IF(ABS(ROUND(100/F87*G87-100,1))&lt;999,ROUND(100/F87*G87-100,1),IF(ROUND(100/F87*G87-100,1)&gt;999,999,-999)))</f>
        <v>20.5</v>
      </c>
      <c r="I87" s="25">
        <f>IFERROR(100/'Skjema total MA'!F87*G87,0)</f>
        <v>1.3913007910139823</v>
      </c>
      <c r="J87" s="282">
        <f t="shared" si="6"/>
        <v>2561966</v>
      </c>
      <c r="K87" s="42">
        <f t="shared" si="6"/>
        <v>3088555.5</v>
      </c>
      <c r="L87" s="253">
        <f>IF(J87=0, "    ---- ", IF(ABS(ROUND(100/J87*K87-100,1))&lt;999,ROUND(100/J87*K87-100,1),IF(ROUND(100/J87*K87-100,1)&gt;999,999,-999)))</f>
        <v>20.6</v>
      </c>
      <c r="M87" s="25">
        <f>IFERROR(100/'Skjema total MA'!I87*K87,0)</f>
        <v>1.4540250240634869</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v>137446</v>
      </c>
      <c r="C96" s="232">
        <v>168046</v>
      </c>
      <c r="D96" s="163">
        <f>IF(B96=0, "    ---- ", IF(ABS(ROUND(100/B96*C96-100,1))&lt;999,ROUND(100/B96*C96-100,1),IF(ROUND(100/B96*C96-100,1)&gt;999,999,-999)))</f>
        <v>22.3</v>
      </c>
      <c r="E96" s="25">
        <f>IFERROR(100/'Skjema total MA'!C96*C96,0)</f>
        <v>4.5361688525839168E-2</v>
      </c>
      <c r="F96" s="284">
        <v>2424520</v>
      </c>
      <c r="G96" s="284">
        <v>2920509.5</v>
      </c>
      <c r="H96" s="163">
        <f>IF(F96=0, "    ---- ", IF(ABS(ROUND(100/F96*G96-100,1))&lt;999,ROUND(100/F96*G96-100,1),IF(ROUND(100/F96*G96-100,1)&gt;999,999,-999)))</f>
        <v>20.5</v>
      </c>
      <c r="I96" s="25">
        <f>IFERROR(100/'Skjema total MA'!F96*G96,0)</f>
        <v>1.3949527942097526</v>
      </c>
      <c r="J96" s="282">
        <f t="shared" ref="J96:K98" si="7">SUM(B96,F96)</f>
        <v>2561966</v>
      </c>
      <c r="K96" s="42">
        <f t="shared" si="7"/>
        <v>3088555.5</v>
      </c>
      <c r="L96" s="253">
        <f>IF(J96=0, "    ---- ", IF(ABS(ROUND(100/J96*K96-100,1))&lt;999,ROUND(100/J96*K96-100,1),IF(ROUND(100/J96*K96-100,1)&gt;999,999,-999)))</f>
        <v>20.6</v>
      </c>
      <c r="M96" s="25">
        <f>IFERROR(100/'Skjema total MA'!I96*K96,0)</f>
        <v>0.53267433487241012</v>
      </c>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v>137446</v>
      </c>
      <c r="C98" s="285">
        <v>168046</v>
      </c>
      <c r="D98" s="163">
        <f>IF(B98=0, "    ---- ", IF(ABS(ROUND(100/B98*C98-100,1))&lt;999,ROUND(100/B98*C98-100,1),IF(ROUND(100/B98*C98-100,1)&gt;999,999,-999)))</f>
        <v>22.3</v>
      </c>
      <c r="E98" s="25">
        <f>IFERROR(100/'Skjema total MA'!C98*C98,0)</f>
        <v>6.7163738937386599</v>
      </c>
      <c r="F98" s="232">
        <v>2424520</v>
      </c>
      <c r="G98" s="232">
        <v>2920509.5</v>
      </c>
      <c r="H98" s="163">
        <f>IF(F98=0, "    ---- ", IF(ABS(ROUND(100/F98*G98-100,1))&lt;999,ROUND(100/F98*G98-100,1),IF(ROUND(100/F98*G98-100,1)&gt;999,999,-999)))</f>
        <v>20.5</v>
      </c>
      <c r="I98" s="25">
        <f>IFERROR(100/'Skjema total MA'!F98*G98,0)</f>
        <v>1.3949527942097526</v>
      </c>
      <c r="J98" s="282">
        <f t="shared" si="7"/>
        <v>2561966</v>
      </c>
      <c r="K98" s="42">
        <f t="shared" si="7"/>
        <v>3088555.5</v>
      </c>
      <c r="L98" s="253">
        <f>IF(J98=0, "    ---- ", IF(ABS(ROUND(100/J98*K98-100,1))&lt;999,ROUND(100/J98*K98-100,1),IF(ROUND(100/J98*K98-100,1)&gt;999,999,-999)))</f>
        <v>20.6</v>
      </c>
      <c r="M98" s="25">
        <f>IFERROR(100/'Skjema total MA'!I98*K98,0)</f>
        <v>1.4577965980570875</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945.06200000000001</v>
      </c>
      <c r="C109" s="156">
        <v>466.02100000000002</v>
      </c>
      <c r="D109" s="168">
        <f>IF(B109=0, "    ---- ", IF(ABS(ROUND(100/B109*C109-100,1))&lt;999,ROUND(100/B109*C109-100,1),IF(ROUND(100/B109*C109-100,1)&gt;999,999,-999)))</f>
        <v>-50.7</v>
      </c>
      <c r="E109" s="11">
        <f>IFERROR(100/'Skjema total MA'!C109*C109,0)</f>
        <v>0.10012146978688208</v>
      </c>
      <c r="F109" s="297">
        <v>46375</v>
      </c>
      <c r="G109" s="156">
        <v>60435</v>
      </c>
      <c r="H109" s="168">
        <f>IF(F109=0, "    ---- ", IF(ABS(ROUND(100/F109*G109-100,1))&lt;999,ROUND(100/F109*G109-100,1),IF(ROUND(100/F109*G109-100,1)&gt;999,999,-999)))</f>
        <v>30.3</v>
      </c>
      <c r="I109" s="11">
        <f>IFERROR(100/'Skjema total MA'!F109*G109,0)</f>
        <v>0.73543057467690864</v>
      </c>
      <c r="J109" s="298">
        <f t="shared" ref="J109:K109" si="8">SUM(B109,F109)</f>
        <v>47320.061999999998</v>
      </c>
      <c r="K109" s="234">
        <f t="shared" si="8"/>
        <v>60901.021000000001</v>
      </c>
      <c r="L109" s="411">
        <f>IF(J109=0, "    ---- ", IF(ABS(ROUND(100/J109*K109-100,1))&lt;999,ROUND(100/J109*K109-100,1),IF(ROUND(100/J109*K109-100,1)&gt;999,999,-999)))</f>
        <v>28.7</v>
      </c>
      <c r="M109" s="11">
        <f>IFERROR(100/'Skjema total MA'!I109*K109,0)</f>
        <v>0.70137493678374219</v>
      </c>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v>945.06200000000001</v>
      </c>
      <c r="C111" s="142">
        <v>466.02100000000002</v>
      </c>
      <c r="D111" s="163">
        <f t="shared" ref="D111:D119" si="9">IF(B111=0, "    ---- ", IF(ABS(ROUND(100/B111*C111-100,1))&lt;999,ROUND(100/B111*C111-100,1),IF(ROUND(100/B111*C111-100,1)&gt;999,999,-999)))</f>
        <v>-50.7</v>
      </c>
      <c r="E111" s="25">
        <f>IFERROR(100/'Skjema total MA'!C111*C111,0)</f>
        <v>17.312558208996254</v>
      </c>
      <c r="F111" s="232">
        <v>46375</v>
      </c>
      <c r="G111" s="142">
        <v>60435</v>
      </c>
      <c r="H111" s="163">
        <f t="shared" ref="H111:H119" si="10">IF(F111=0, "    ---- ", IF(ABS(ROUND(100/F111*G111-100,1))&lt;999,ROUND(100/F111*G111-100,1),IF(ROUND(100/F111*G111-100,1)&gt;999,999,-999)))</f>
        <v>30.3</v>
      </c>
      <c r="I111" s="25">
        <f>IFERROR(100/'Skjema total MA'!F111*G111,0)</f>
        <v>0.73543057467690864</v>
      </c>
      <c r="J111" s="282">
        <f t="shared" ref="J111:K119" si="11">SUM(B111,F111)</f>
        <v>47320.061999999998</v>
      </c>
      <c r="K111" s="42">
        <f t="shared" si="11"/>
        <v>60901.021000000001</v>
      </c>
      <c r="L111" s="253">
        <f t="shared" ref="L111:L119" si="12">IF(J111=0, "    ---- ", IF(ABS(ROUND(100/J111*K111-100,1))&lt;999,ROUND(100/J111*K111-100,1),IF(ROUND(100/J111*K111-100,1)&gt;999,999,-999)))</f>
        <v>28.7</v>
      </c>
      <c r="M111" s="25">
        <f>IFERROR(100/'Skjema total MA'!I111*K111,0)</f>
        <v>0.7408588821666714</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4199.0659999999998</v>
      </c>
      <c r="C117" s="156">
        <v>1680.6120000000001</v>
      </c>
      <c r="D117" s="168">
        <f t="shared" si="9"/>
        <v>-60</v>
      </c>
      <c r="E117" s="11">
        <f>IFERROR(100/'Skjema total MA'!C117*C117,0)</f>
        <v>0.44561411148457036</v>
      </c>
      <c r="F117" s="297">
        <v>72163.043999999994</v>
      </c>
      <c r="G117" s="156">
        <v>107357</v>
      </c>
      <c r="H117" s="168">
        <f t="shared" si="10"/>
        <v>48.8</v>
      </c>
      <c r="I117" s="11">
        <f>IFERROR(100/'Skjema total MA'!F117*G117,0)</f>
        <v>1.3103836858015623</v>
      </c>
      <c r="J117" s="298">
        <f t="shared" si="11"/>
        <v>76362.11</v>
      </c>
      <c r="K117" s="234">
        <f t="shared" si="11"/>
        <v>109037.61199999999</v>
      </c>
      <c r="L117" s="411">
        <f t="shared" si="12"/>
        <v>42.8</v>
      </c>
      <c r="M117" s="11">
        <f>IFERROR(100/'Skjema total MA'!I117*K117,0)</f>
        <v>1.2723269682536769</v>
      </c>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v>4199.0659999999998</v>
      </c>
      <c r="C119" s="142">
        <v>1680.6120000000001</v>
      </c>
      <c r="D119" s="163">
        <f t="shared" si="9"/>
        <v>-60</v>
      </c>
      <c r="E119" s="25">
        <f>IFERROR(100/'Skjema total MA'!C119*C119,0)</f>
        <v>7.241949933124995</v>
      </c>
      <c r="F119" s="232">
        <v>72163.043999999994</v>
      </c>
      <c r="G119" s="142">
        <v>107357</v>
      </c>
      <c r="H119" s="163">
        <f t="shared" si="10"/>
        <v>48.8</v>
      </c>
      <c r="I119" s="25">
        <f>IFERROR(100/'Skjema total MA'!F119*G119,0)</f>
        <v>1.3103836858015623</v>
      </c>
      <c r="J119" s="282">
        <f t="shared" si="11"/>
        <v>76362.11</v>
      </c>
      <c r="K119" s="42">
        <f t="shared" si="11"/>
        <v>109037.61199999999</v>
      </c>
      <c r="L119" s="253">
        <f t="shared" si="12"/>
        <v>42.8</v>
      </c>
      <c r="M119" s="25">
        <f>IFERROR(100/'Skjema total MA'!I119*K119,0)</f>
        <v>1.3271377821669001</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574" priority="142">
      <formula>kvartal &lt; 4</formula>
    </cfRule>
  </conditionalFormatting>
  <conditionalFormatting sqref="B29">
    <cfRule type="expression" dxfId="1573" priority="140">
      <formula>kvartal &lt; 4</formula>
    </cfRule>
  </conditionalFormatting>
  <conditionalFormatting sqref="B30">
    <cfRule type="expression" dxfId="1572" priority="139">
      <formula>kvartal &lt; 4</formula>
    </cfRule>
  </conditionalFormatting>
  <conditionalFormatting sqref="B31">
    <cfRule type="expression" dxfId="1571" priority="138">
      <formula>kvartal &lt; 4</formula>
    </cfRule>
  </conditionalFormatting>
  <conditionalFormatting sqref="C29">
    <cfRule type="expression" dxfId="1570" priority="137">
      <formula>kvartal &lt; 4</formula>
    </cfRule>
  </conditionalFormatting>
  <conditionalFormatting sqref="C30">
    <cfRule type="expression" dxfId="1569" priority="136">
      <formula>kvartal &lt; 4</formula>
    </cfRule>
  </conditionalFormatting>
  <conditionalFormatting sqref="C31">
    <cfRule type="expression" dxfId="1568" priority="135">
      <formula>kvartal &lt; 4</formula>
    </cfRule>
  </conditionalFormatting>
  <conditionalFormatting sqref="B23:C25">
    <cfRule type="expression" dxfId="1567" priority="134">
      <formula>kvartal &lt; 4</formula>
    </cfRule>
  </conditionalFormatting>
  <conditionalFormatting sqref="F23:G25">
    <cfRule type="expression" dxfId="1566" priority="130">
      <formula>kvartal &lt; 4</formula>
    </cfRule>
  </conditionalFormatting>
  <conditionalFormatting sqref="F29">
    <cfRule type="expression" dxfId="1565" priority="123">
      <formula>kvartal &lt; 4</formula>
    </cfRule>
  </conditionalFormatting>
  <conditionalFormatting sqref="F30">
    <cfRule type="expression" dxfId="1564" priority="122">
      <formula>kvartal &lt; 4</formula>
    </cfRule>
  </conditionalFormatting>
  <conditionalFormatting sqref="F31">
    <cfRule type="expression" dxfId="1563" priority="121">
      <formula>kvartal &lt; 4</formula>
    </cfRule>
  </conditionalFormatting>
  <conditionalFormatting sqref="G29">
    <cfRule type="expression" dxfId="1562" priority="120">
      <formula>kvartal &lt; 4</formula>
    </cfRule>
  </conditionalFormatting>
  <conditionalFormatting sqref="G30">
    <cfRule type="expression" dxfId="1561" priority="119">
      <formula>kvartal &lt; 4</formula>
    </cfRule>
  </conditionalFormatting>
  <conditionalFormatting sqref="G31">
    <cfRule type="expression" dxfId="1560" priority="118">
      <formula>kvartal &lt; 4</formula>
    </cfRule>
  </conditionalFormatting>
  <conditionalFormatting sqref="B26">
    <cfRule type="expression" dxfId="1559" priority="117">
      <formula>kvartal &lt; 4</formula>
    </cfRule>
  </conditionalFormatting>
  <conditionalFormatting sqref="C26">
    <cfRule type="expression" dxfId="1558" priority="116">
      <formula>kvartal &lt; 4</formula>
    </cfRule>
  </conditionalFormatting>
  <conditionalFormatting sqref="F26">
    <cfRule type="expression" dxfId="1557" priority="115">
      <formula>kvartal &lt; 4</formula>
    </cfRule>
  </conditionalFormatting>
  <conditionalFormatting sqref="G26">
    <cfRule type="expression" dxfId="1556" priority="114">
      <formula>kvartal &lt; 4</formula>
    </cfRule>
  </conditionalFormatting>
  <conditionalFormatting sqref="J23:K26">
    <cfRule type="expression" dxfId="1555" priority="113">
      <formula>kvartal &lt; 4</formula>
    </cfRule>
  </conditionalFormatting>
  <conditionalFormatting sqref="J29:K31">
    <cfRule type="expression" dxfId="1554" priority="111">
      <formula>kvartal &lt; 4</formula>
    </cfRule>
  </conditionalFormatting>
  <conditionalFormatting sqref="B67">
    <cfRule type="expression" dxfId="1553" priority="110">
      <formula>kvartal &lt; 4</formula>
    </cfRule>
  </conditionalFormatting>
  <conditionalFormatting sqref="C67">
    <cfRule type="expression" dxfId="1552" priority="109">
      <formula>kvartal &lt; 4</formula>
    </cfRule>
  </conditionalFormatting>
  <conditionalFormatting sqref="B70">
    <cfRule type="expression" dxfId="1551" priority="108">
      <formula>kvartal &lt; 4</formula>
    </cfRule>
  </conditionalFormatting>
  <conditionalFormatting sqref="C70">
    <cfRule type="expression" dxfId="1550" priority="107">
      <formula>kvartal &lt; 4</formula>
    </cfRule>
  </conditionalFormatting>
  <conditionalFormatting sqref="B78">
    <cfRule type="expression" dxfId="1549" priority="106">
      <formula>kvartal &lt; 4</formula>
    </cfRule>
  </conditionalFormatting>
  <conditionalFormatting sqref="C78">
    <cfRule type="expression" dxfId="1548" priority="105">
      <formula>kvartal &lt; 4</formula>
    </cfRule>
  </conditionalFormatting>
  <conditionalFormatting sqref="B81">
    <cfRule type="expression" dxfId="1547" priority="104">
      <formula>kvartal &lt; 4</formula>
    </cfRule>
  </conditionalFormatting>
  <conditionalFormatting sqref="C81">
    <cfRule type="expression" dxfId="1546" priority="103">
      <formula>kvartal &lt; 4</formula>
    </cfRule>
  </conditionalFormatting>
  <conditionalFormatting sqref="B88">
    <cfRule type="expression" dxfId="1545" priority="94">
      <formula>kvartal &lt; 4</formula>
    </cfRule>
  </conditionalFormatting>
  <conditionalFormatting sqref="C88">
    <cfRule type="expression" dxfId="1544" priority="93">
      <formula>kvartal &lt; 4</formula>
    </cfRule>
  </conditionalFormatting>
  <conditionalFormatting sqref="B91">
    <cfRule type="expression" dxfId="1543" priority="92">
      <formula>kvartal &lt; 4</formula>
    </cfRule>
  </conditionalFormatting>
  <conditionalFormatting sqref="C91">
    <cfRule type="expression" dxfId="1542" priority="91">
      <formula>kvartal &lt; 4</formula>
    </cfRule>
  </conditionalFormatting>
  <conditionalFormatting sqref="B99">
    <cfRule type="expression" dxfId="1541" priority="90">
      <formula>kvartal &lt; 4</formula>
    </cfRule>
  </conditionalFormatting>
  <conditionalFormatting sqref="C99">
    <cfRule type="expression" dxfId="1540" priority="89">
      <formula>kvartal &lt; 4</formula>
    </cfRule>
  </conditionalFormatting>
  <conditionalFormatting sqref="B102">
    <cfRule type="expression" dxfId="1539" priority="88">
      <formula>kvartal &lt; 4</formula>
    </cfRule>
  </conditionalFormatting>
  <conditionalFormatting sqref="C102">
    <cfRule type="expression" dxfId="1538" priority="87">
      <formula>kvartal &lt; 4</formula>
    </cfRule>
  </conditionalFormatting>
  <conditionalFormatting sqref="B113">
    <cfRule type="expression" dxfId="1537" priority="86">
      <formula>kvartal &lt; 4</formula>
    </cfRule>
  </conditionalFormatting>
  <conditionalFormatting sqref="C113">
    <cfRule type="expression" dxfId="1536" priority="85">
      <formula>kvartal &lt; 4</formula>
    </cfRule>
  </conditionalFormatting>
  <conditionalFormatting sqref="B121">
    <cfRule type="expression" dxfId="1535" priority="84">
      <formula>kvartal &lt; 4</formula>
    </cfRule>
  </conditionalFormatting>
  <conditionalFormatting sqref="C121">
    <cfRule type="expression" dxfId="1534" priority="83">
      <formula>kvartal &lt; 4</formula>
    </cfRule>
  </conditionalFormatting>
  <conditionalFormatting sqref="F68">
    <cfRule type="expression" dxfId="1533" priority="82">
      <formula>kvartal &lt; 4</formula>
    </cfRule>
  </conditionalFormatting>
  <conditionalFormatting sqref="G68">
    <cfRule type="expression" dxfId="1532" priority="81">
      <formula>kvartal &lt; 4</formula>
    </cfRule>
  </conditionalFormatting>
  <conditionalFormatting sqref="F69:G69">
    <cfRule type="expression" dxfId="1531" priority="80">
      <formula>kvartal &lt; 4</formula>
    </cfRule>
  </conditionalFormatting>
  <conditionalFormatting sqref="F71:G72">
    <cfRule type="expression" dxfId="1530" priority="79">
      <formula>kvartal &lt; 4</formula>
    </cfRule>
  </conditionalFormatting>
  <conditionalFormatting sqref="F79:G80">
    <cfRule type="expression" dxfId="1529" priority="78">
      <formula>kvartal &lt; 4</formula>
    </cfRule>
  </conditionalFormatting>
  <conditionalFormatting sqref="F82:G83">
    <cfRule type="expression" dxfId="1528" priority="77">
      <formula>kvartal &lt; 4</formula>
    </cfRule>
  </conditionalFormatting>
  <conditionalFormatting sqref="F89:G90">
    <cfRule type="expression" dxfId="1527" priority="72">
      <formula>kvartal &lt; 4</formula>
    </cfRule>
  </conditionalFormatting>
  <conditionalFormatting sqref="F92:G93">
    <cfRule type="expression" dxfId="1526" priority="71">
      <formula>kvartal &lt; 4</formula>
    </cfRule>
  </conditionalFormatting>
  <conditionalFormatting sqref="F100:G101">
    <cfRule type="expression" dxfId="1525" priority="70">
      <formula>kvartal &lt; 4</formula>
    </cfRule>
  </conditionalFormatting>
  <conditionalFormatting sqref="F103:G104">
    <cfRule type="expression" dxfId="1524" priority="69">
      <formula>kvartal &lt; 4</formula>
    </cfRule>
  </conditionalFormatting>
  <conditionalFormatting sqref="F113">
    <cfRule type="expression" dxfId="1523" priority="68">
      <formula>kvartal &lt; 4</formula>
    </cfRule>
  </conditionalFormatting>
  <conditionalFormatting sqref="G113">
    <cfRule type="expression" dxfId="1522" priority="67">
      <formula>kvartal &lt; 4</formula>
    </cfRule>
  </conditionalFormatting>
  <conditionalFormatting sqref="F121:G121">
    <cfRule type="expression" dxfId="1521" priority="66">
      <formula>kvartal &lt; 4</formula>
    </cfRule>
  </conditionalFormatting>
  <conditionalFormatting sqref="F67:G67">
    <cfRule type="expression" dxfId="1520" priority="65">
      <formula>kvartal &lt; 4</formula>
    </cfRule>
  </conditionalFormatting>
  <conditionalFormatting sqref="F70:G70">
    <cfRule type="expression" dxfId="1519" priority="64">
      <formula>kvartal &lt; 4</formula>
    </cfRule>
  </conditionalFormatting>
  <conditionalFormatting sqref="F78:G78">
    <cfRule type="expression" dxfId="1518" priority="63">
      <formula>kvartal &lt; 4</formula>
    </cfRule>
  </conditionalFormatting>
  <conditionalFormatting sqref="F81:G81">
    <cfRule type="expression" dxfId="1517" priority="62">
      <formula>kvartal &lt; 4</formula>
    </cfRule>
  </conditionalFormatting>
  <conditionalFormatting sqref="F88:G88">
    <cfRule type="expression" dxfId="1516" priority="56">
      <formula>kvartal &lt; 4</formula>
    </cfRule>
  </conditionalFormatting>
  <conditionalFormatting sqref="F91">
    <cfRule type="expression" dxfId="1515" priority="55">
      <formula>kvartal &lt; 4</formula>
    </cfRule>
  </conditionalFormatting>
  <conditionalFormatting sqref="G91">
    <cfRule type="expression" dxfId="1514" priority="54">
      <formula>kvartal &lt; 4</formula>
    </cfRule>
  </conditionalFormatting>
  <conditionalFormatting sqref="F99">
    <cfRule type="expression" dxfId="1513" priority="53">
      <formula>kvartal &lt; 4</formula>
    </cfRule>
  </conditionalFormatting>
  <conditionalFormatting sqref="G99">
    <cfRule type="expression" dxfId="1512" priority="52">
      <formula>kvartal &lt; 4</formula>
    </cfRule>
  </conditionalFormatting>
  <conditionalFormatting sqref="G102">
    <cfRule type="expression" dxfId="1511" priority="51">
      <formula>kvartal &lt; 4</formula>
    </cfRule>
  </conditionalFormatting>
  <conditionalFormatting sqref="F102">
    <cfRule type="expression" dxfId="1510" priority="50">
      <formula>kvartal &lt; 4</formula>
    </cfRule>
  </conditionalFormatting>
  <conditionalFormatting sqref="J67:K71">
    <cfRule type="expression" dxfId="1509" priority="49">
      <formula>kvartal &lt; 4</formula>
    </cfRule>
  </conditionalFormatting>
  <conditionalFormatting sqref="J72:K72">
    <cfRule type="expression" dxfId="1508" priority="48">
      <formula>kvartal &lt; 4</formula>
    </cfRule>
  </conditionalFormatting>
  <conditionalFormatting sqref="J78:K83">
    <cfRule type="expression" dxfId="1507" priority="47">
      <formula>kvartal &lt; 4</formula>
    </cfRule>
  </conditionalFormatting>
  <conditionalFormatting sqref="J88:K93">
    <cfRule type="expression" dxfId="1506" priority="44">
      <formula>kvartal &lt; 4</formula>
    </cfRule>
  </conditionalFormatting>
  <conditionalFormatting sqref="J99:K104">
    <cfRule type="expression" dxfId="1505" priority="43">
      <formula>kvartal &lt; 4</formula>
    </cfRule>
  </conditionalFormatting>
  <conditionalFormatting sqref="J113:K113">
    <cfRule type="expression" dxfId="1504" priority="42">
      <formula>kvartal &lt; 4</formula>
    </cfRule>
  </conditionalFormatting>
  <conditionalFormatting sqref="J121:K121">
    <cfRule type="expression" dxfId="1503" priority="41">
      <formula>kvartal &lt; 4</formula>
    </cfRule>
  </conditionalFormatting>
  <conditionalFormatting sqref="A23:A25">
    <cfRule type="expression" dxfId="1502" priority="10">
      <formula>kvartal &lt; 4</formula>
    </cfRule>
  </conditionalFormatting>
  <conditionalFormatting sqref="A48:A50">
    <cfRule type="expression" dxfId="1501" priority="9">
      <formula>kvartal &lt; 4</formula>
    </cfRule>
  </conditionalFormatting>
  <conditionalFormatting sqref="A67:A72">
    <cfRule type="expression" dxfId="1500" priority="8">
      <formula>kvartal &lt; 4</formula>
    </cfRule>
  </conditionalFormatting>
  <conditionalFormatting sqref="A113">
    <cfRule type="expression" dxfId="1499" priority="7">
      <formula>kvartal &lt; 4</formula>
    </cfRule>
  </conditionalFormatting>
  <conditionalFormatting sqref="A121">
    <cfRule type="expression" dxfId="1498" priority="6">
      <formula>kvartal &lt; 4</formula>
    </cfRule>
  </conditionalFormatting>
  <conditionalFormatting sqref="A26">
    <cfRule type="expression" dxfId="1497" priority="5">
      <formula>kvartal &lt; 4</formula>
    </cfRule>
  </conditionalFormatting>
  <conditionalFormatting sqref="A29:A31">
    <cfRule type="expression" dxfId="1496" priority="4">
      <formula>kvartal &lt; 4</formula>
    </cfRule>
  </conditionalFormatting>
  <conditionalFormatting sqref="A78:A83">
    <cfRule type="expression" dxfId="1495" priority="3">
      <formula>kvartal &lt; 4</formula>
    </cfRule>
  </conditionalFormatting>
  <conditionalFormatting sqref="A88:A93">
    <cfRule type="expression" dxfId="1494" priority="2">
      <formula>kvartal &lt; 4</formula>
    </cfRule>
  </conditionalFormatting>
  <conditionalFormatting sqref="A99:A104">
    <cfRule type="expression" dxfId="1493" priority="1">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139</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4460</v>
      </c>
      <c r="C45" s="300">
        <v>5631</v>
      </c>
      <c r="D45" s="410">
        <f t="shared" ref="D45:D52" si="0">IF(B45=0, "    ---- ", IF(ABS(ROUND(100/B45*C45-100,1))&lt;999,ROUND(100/B45*C45-100,1),IF(ROUND(100/B45*C45-100,1)&gt;999,999,-999)))</f>
        <v>26.3</v>
      </c>
      <c r="E45" s="11">
        <f>IFERROR(100/'Skjema total MA'!C45*C45,0)</f>
        <v>0.16867928569959034</v>
      </c>
      <c r="F45" s="142"/>
      <c r="G45" s="31"/>
      <c r="H45" s="156"/>
      <c r="I45" s="156"/>
      <c r="J45" s="35"/>
      <c r="K45" s="35"/>
      <c r="L45" s="156"/>
      <c r="M45" s="156"/>
      <c r="N45" s="145"/>
      <c r="O45" s="145"/>
    </row>
    <row r="46" spans="1:15" s="3" customFormat="1" ht="15.75" x14ac:dyDescent="0.2">
      <c r="A46" s="36" t="s">
        <v>407</v>
      </c>
      <c r="B46" s="278">
        <v>4460</v>
      </c>
      <c r="C46" s="279">
        <v>5631</v>
      </c>
      <c r="D46" s="253">
        <f t="shared" si="0"/>
        <v>26.3</v>
      </c>
      <c r="E46" s="25">
        <f>IFERROR(100/'Skjema total MA'!C46*C46,0)</f>
        <v>0.30938088826188093</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0</v>
      </c>
      <c r="C51" s="300">
        <v>1180</v>
      </c>
      <c r="D51" s="411" t="str">
        <f t="shared" si="0"/>
        <v xml:space="preserve">    ---- </v>
      </c>
      <c r="E51" s="11">
        <f>IFERROR(100/'Skjema total MA'!C51*C51,0)</f>
        <v>0.77722182559026309</v>
      </c>
      <c r="F51" s="142"/>
      <c r="G51" s="31"/>
      <c r="H51" s="142"/>
      <c r="I51" s="142"/>
      <c r="J51" s="31"/>
      <c r="K51" s="31"/>
      <c r="L51" s="156"/>
      <c r="M51" s="156"/>
      <c r="N51" s="145"/>
      <c r="O51" s="145"/>
    </row>
    <row r="52" spans="1:15" s="3" customFormat="1" ht="15.75" x14ac:dyDescent="0.2">
      <c r="A52" s="36" t="s">
        <v>407</v>
      </c>
      <c r="B52" s="278">
        <v>0</v>
      </c>
      <c r="C52" s="279">
        <v>1180</v>
      </c>
      <c r="D52" s="253" t="str">
        <f t="shared" si="0"/>
        <v xml:space="preserve">    ---- </v>
      </c>
      <c r="E52" s="25">
        <f>IFERROR(100/'Skjema total MA'!C52*C52,0)</f>
        <v>1.2490221109515232</v>
      </c>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492" priority="142">
      <formula>kvartal &lt; 4</formula>
    </cfRule>
  </conditionalFormatting>
  <conditionalFormatting sqref="B29">
    <cfRule type="expression" dxfId="1491" priority="140">
      <formula>kvartal &lt; 4</formula>
    </cfRule>
  </conditionalFormatting>
  <conditionalFormatting sqref="B30">
    <cfRule type="expression" dxfId="1490" priority="139">
      <formula>kvartal &lt; 4</formula>
    </cfRule>
  </conditionalFormatting>
  <conditionalFormatting sqref="B31">
    <cfRule type="expression" dxfId="1489" priority="138">
      <formula>kvartal &lt; 4</formula>
    </cfRule>
  </conditionalFormatting>
  <conditionalFormatting sqref="C29">
    <cfRule type="expression" dxfId="1488" priority="137">
      <formula>kvartal &lt; 4</formula>
    </cfRule>
  </conditionalFormatting>
  <conditionalFormatting sqref="C30">
    <cfRule type="expression" dxfId="1487" priority="136">
      <formula>kvartal &lt; 4</formula>
    </cfRule>
  </conditionalFormatting>
  <conditionalFormatting sqref="C31">
    <cfRule type="expression" dxfId="1486" priority="135">
      <formula>kvartal &lt; 4</formula>
    </cfRule>
  </conditionalFormatting>
  <conditionalFormatting sqref="B23:C25">
    <cfRule type="expression" dxfId="1485" priority="134">
      <formula>kvartal &lt; 4</formula>
    </cfRule>
  </conditionalFormatting>
  <conditionalFormatting sqref="F23:G25">
    <cfRule type="expression" dxfId="1484" priority="130">
      <formula>kvartal &lt; 4</formula>
    </cfRule>
  </conditionalFormatting>
  <conditionalFormatting sqref="F29">
    <cfRule type="expression" dxfId="1483" priority="123">
      <formula>kvartal &lt; 4</formula>
    </cfRule>
  </conditionalFormatting>
  <conditionalFormatting sqref="F30">
    <cfRule type="expression" dxfId="1482" priority="122">
      <formula>kvartal &lt; 4</formula>
    </cfRule>
  </conditionalFormatting>
  <conditionalFormatting sqref="F31">
    <cfRule type="expression" dxfId="1481" priority="121">
      <formula>kvartal &lt; 4</formula>
    </cfRule>
  </conditionalFormatting>
  <conditionalFormatting sqref="G29">
    <cfRule type="expression" dxfId="1480" priority="120">
      <formula>kvartal &lt; 4</formula>
    </cfRule>
  </conditionalFormatting>
  <conditionalFormatting sqref="G30">
    <cfRule type="expression" dxfId="1479" priority="119">
      <formula>kvartal &lt; 4</formula>
    </cfRule>
  </conditionalFormatting>
  <conditionalFormatting sqref="G31">
    <cfRule type="expression" dxfId="1478" priority="118">
      <formula>kvartal &lt; 4</formula>
    </cfRule>
  </conditionalFormatting>
  <conditionalFormatting sqref="B26">
    <cfRule type="expression" dxfId="1477" priority="117">
      <formula>kvartal &lt; 4</formula>
    </cfRule>
  </conditionalFormatting>
  <conditionalFormatting sqref="C26">
    <cfRule type="expression" dxfId="1476" priority="116">
      <formula>kvartal &lt; 4</formula>
    </cfRule>
  </conditionalFormatting>
  <conditionalFormatting sqref="F26">
    <cfRule type="expression" dxfId="1475" priority="115">
      <formula>kvartal &lt; 4</formula>
    </cfRule>
  </conditionalFormatting>
  <conditionalFormatting sqref="G26">
    <cfRule type="expression" dxfId="1474" priority="114">
      <formula>kvartal &lt; 4</formula>
    </cfRule>
  </conditionalFormatting>
  <conditionalFormatting sqref="J23:K26">
    <cfRule type="expression" dxfId="1473" priority="113">
      <formula>kvartal &lt; 4</formula>
    </cfRule>
  </conditionalFormatting>
  <conditionalFormatting sqref="J29:K31">
    <cfRule type="expression" dxfId="1472" priority="111">
      <formula>kvartal &lt; 4</formula>
    </cfRule>
  </conditionalFormatting>
  <conditionalFormatting sqref="B67">
    <cfRule type="expression" dxfId="1471" priority="110">
      <formula>kvartal &lt; 4</formula>
    </cfRule>
  </conditionalFormatting>
  <conditionalFormatting sqref="C67">
    <cfRule type="expression" dxfId="1470" priority="109">
      <formula>kvartal &lt; 4</formula>
    </cfRule>
  </conditionalFormatting>
  <conditionalFormatting sqref="B70">
    <cfRule type="expression" dxfId="1469" priority="108">
      <formula>kvartal &lt; 4</formula>
    </cfRule>
  </conditionalFormatting>
  <conditionalFormatting sqref="C70">
    <cfRule type="expression" dxfId="1468" priority="107">
      <formula>kvartal &lt; 4</formula>
    </cfRule>
  </conditionalFormatting>
  <conditionalFormatting sqref="B78">
    <cfRule type="expression" dxfId="1467" priority="106">
      <formula>kvartal &lt; 4</formula>
    </cfRule>
  </conditionalFormatting>
  <conditionalFormatting sqref="C78">
    <cfRule type="expression" dxfId="1466" priority="105">
      <formula>kvartal &lt; 4</formula>
    </cfRule>
  </conditionalFormatting>
  <conditionalFormatting sqref="B81">
    <cfRule type="expression" dxfId="1465" priority="104">
      <formula>kvartal &lt; 4</formula>
    </cfRule>
  </conditionalFormatting>
  <conditionalFormatting sqref="C81">
    <cfRule type="expression" dxfId="1464" priority="103">
      <formula>kvartal &lt; 4</formula>
    </cfRule>
  </conditionalFormatting>
  <conditionalFormatting sqref="B88">
    <cfRule type="expression" dxfId="1463" priority="94">
      <formula>kvartal &lt; 4</formula>
    </cfRule>
  </conditionalFormatting>
  <conditionalFormatting sqref="C88">
    <cfRule type="expression" dxfId="1462" priority="93">
      <formula>kvartal &lt; 4</formula>
    </cfRule>
  </conditionalFormatting>
  <conditionalFormatting sqref="B91">
    <cfRule type="expression" dxfId="1461" priority="92">
      <formula>kvartal &lt; 4</formula>
    </cfRule>
  </conditionalFormatting>
  <conditionalFormatting sqref="C91">
    <cfRule type="expression" dxfId="1460" priority="91">
      <formula>kvartal &lt; 4</formula>
    </cfRule>
  </conditionalFormatting>
  <conditionalFormatting sqref="B99">
    <cfRule type="expression" dxfId="1459" priority="90">
      <formula>kvartal &lt; 4</formula>
    </cfRule>
  </conditionalFormatting>
  <conditionalFormatting sqref="C99">
    <cfRule type="expression" dxfId="1458" priority="89">
      <formula>kvartal &lt; 4</formula>
    </cfRule>
  </conditionalFormatting>
  <conditionalFormatting sqref="B102">
    <cfRule type="expression" dxfId="1457" priority="88">
      <formula>kvartal &lt; 4</formula>
    </cfRule>
  </conditionalFormatting>
  <conditionalFormatting sqref="C102">
    <cfRule type="expression" dxfId="1456" priority="87">
      <formula>kvartal &lt; 4</formula>
    </cfRule>
  </conditionalFormatting>
  <conditionalFormatting sqref="B113">
    <cfRule type="expression" dxfId="1455" priority="86">
      <formula>kvartal &lt; 4</formula>
    </cfRule>
  </conditionalFormatting>
  <conditionalFormatting sqref="C113">
    <cfRule type="expression" dxfId="1454" priority="85">
      <formula>kvartal &lt; 4</formula>
    </cfRule>
  </conditionalFormatting>
  <conditionalFormatting sqref="B121">
    <cfRule type="expression" dxfId="1453" priority="84">
      <formula>kvartal &lt; 4</formula>
    </cfRule>
  </conditionalFormatting>
  <conditionalFormatting sqref="C121">
    <cfRule type="expression" dxfId="1452" priority="83">
      <formula>kvartal &lt; 4</formula>
    </cfRule>
  </conditionalFormatting>
  <conditionalFormatting sqref="F68">
    <cfRule type="expression" dxfId="1451" priority="82">
      <formula>kvartal &lt; 4</formula>
    </cfRule>
  </conditionalFormatting>
  <conditionalFormatting sqref="G68">
    <cfRule type="expression" dxfId="1450" priority="81">
      <formula>kvartal &lt; 4</formula>
    </cfRule>
  </conditionalFormatting>
  <conditionalFormatting sqref="F69:G69">
    <cfRule type="expression" dxfId="1449" priority="80">
      <formula>kvartal &lt; 4</formula>
    </cfRule>
  </conditionalFormatting>
  <conditionalFormatting sqref="F71:G72">
    <cfRule type="expression" dxfId="1448" priority="79">
      <formula>kvartal &lt; 4</formula>
    </cfRule>
  </conditionalFormatting>
  <conditionalFormatting sqref="F79:G80">
    <cfRule type="expression" dxfId="1447" priority="78">
      <formula>kvartal &lt; 4</formula>
    </cfRule>
  </conditionalFormatting>
  <conditionalFormatting sqref="F82:G83">
    <cfRule type="expression" dxfId="1446" priority="77">
      <formula>kvartal &lt; 4</formula>
    </cfRule>
  </conditionalFormatting>
  <conditionalFormatting sqref="F89:G90">
    <cfRule type="expression" dxfId="1445" priority="72">
      <formula>kvartal &lt; 4</formula>
    </cfRule>
  </conditionalFormatting>
  <conditionalFormatting sqref="F92:G93">
    <cfRule type="expression" dxfId="1444" priority="71">
      <formula>kvartal &lt; 4</formula>
    </cfRule>
  </conditionalFormatting>
  <conditionalFormatting sqref="F100:G101">
    <cfRule type="expression" dxfId="1443" priority="70">
      <formula>kvartal &lt; 4</formula>
    </cfRule>
  </conditionalFormatting>
  <conditionalFormatting sqref="F103:G104">
    <cfRule type="expression" dxfId="1442" priority="69">
      <formula>kvartal &lt; 4</formula>
    </cfRule>
  </conditionalFormatting>
  <conditionalFormatting sqref="F113">
    <cfRule type="expression" dxfId="1441" priority="68">
      <formula>kvartal &lt; 4</formula>
    </cfRule>
  </conditionalFormatting>
  <conditionalFormatting sqref="G113">
    <cfRule type="expression" dxfId="1440" priority="67">
      <formula>kvartal &lt; 4</formula>
    </cfRule>
  </conditionalFormatting>
  <conditionalFormatting sqref="F121:G121">
    <cfRule type="expression" dxfId="1439" priority="66">
      <formula>kvartal &lt; 4</formula>
    </cfRule>
  </conditionalFormatting>
  <conditionalFormatting sqref="F67:G67">
    <cfRule type="expression" dxfId="1438" priority="65">
      <formula>kvartal &lt; 4</formula>
    </cfRule>
  </conditionalFormatting>
  <conditionalFormatting sqref="F70:G70">
    <cfRule type="expression" dxfId="1437" priority="64">
      <formula>kvartal &lt; 4</formula>
    </cfRule>
  </conditionalFormatting>
  <conditionalFormatting sqref="F78:G78">
    <cfRule type="expression" dxfId="1436" priority="63">
      <formula>kvartal &lt; 4</formula>
    </cfRule>
  </conditionalFormatting>
  <conditionalFormatting sqref="F81:G81">
    <cfRule type="expression" dxfId="1435" priority="62">
      <formula>kvartal &lt; 4</formula>
    </cfRule>
  </conditionalFormatting>
  <conditionalFormatting sqref="F88:G88">
    <cfRule type="expression" dxfId="1434" priority="56">
      <formula>kvartal &lt; 4</formula>
    </cfRule>
  </conditionalFormatting>
  <conditionalFormatting sqref="F91">
    <cfRule type="expression" dxfId="1433" priority="55">
      <formula>kvartal &lt; 4</formula>
    </cfRule>
  </conditionalFormatting>
  <conditionalFormatting sqref="G91">
    <cfRule type="expression" dxfId="1432" priority="54">
      <formula>kvartal &lt; 4</formula>
    </cfRule>
  </conditionalFormatting>
  <conditionalFormatting sqref="F99">
    <cfRule type="expression" dxfId="1431" priority="53">
      <formula>kvartal &lt; 4</formula>
    </cfRule>
  </conditionalFormatting>
  <conditionalFormatting sqref="G99">
    <cfRule type="expression" dxfId="1430" priority="52">
      <formula>kvartal &lt; 4</formula>
    </cfRule>
  </conditionalFormatting>
  <conditionalFormatting sqref="G102">
    <cfRule type="expression" dxfId="1429" priority="51">
      <formula>kvartal &lt; 4</formula>
    </cfRule>
  </conditionalFormatting>
  <conditionalFormatting sqref="F102">
    <cfRule type="expression" dxfId="1428" priority="50">
      <formula>kvartal &lt; 4</formula>
    </cfRule>
  </conditionalFormatting>
  <conditionalFormatting sqref="J67:K71">
    <cfRule type="expression" dxfId="1427" priority="49">
      <formula>kvartal &lt; 4</formula>
    </cfRule>
  </conditionalFormatting>
  <conditionalFormatting sqref="J72:K72">
    <cfRule type="expression" dxfId="1426" priority="48">
      <formula>kvartal &lt; 4</formula>
    </cfRule>
  </conditionalFormatting>
  <conditionalFormatting sqref="J78:K83">
    <cfRule type="expression" dxfId="1425" priority="47">
      <formula>kvartal &lt; 4</formula>
    </cfRule>
  </conditionalFormatting>
  <conditionalFormatting sqref="J88:K93">
    <cfRule type="expression" dxfId="1424" priority="44">
      <formula>kvartal &lt; 4</formula>
    </cfRule>
  </conditionalFormatting>
  <conditionalFormatting sqref="J99:K104">
    <cfRule type="expression" dxfId="1423" priority="43">
      <formula>kvartal &lt; 4</formula>
    </cfRule>
  </conditionalFormatting>
  <conditionalFormatting sqref="J113:K113">
    <cfRule type="expression" dxfId="1422" priority="42">
      <formula>kvartal &lt; 4</formula>
    </cfRule>
  </conditionalFormatting>
  <conditionalFormatting sqref="J121:K121">
    <cfRule type="expression" dxfId="1421" priority="41">
      <formula>kvartal &lt; 4</formula>
    </cfRule>
  </conditionalFormatting>
  <conditionalFormatting sqref="A23:A25">
    <cfRule type="expression" dxfId="1420" priority="10">
      <formula>kvartal &lt; 4</formula>
    </cfRule>
  </conditionalFormatting>
  <conditionalFormatting sqref="A48:A50">
    <cfRule type="expression" dxfId="1419" priority="9">
      <formula>kvartal &lt; 4</formula>
    </cfRule>
  </conditionalFormatting>
  <conditionalFormatting sqref="A67:A72">
    <cfRule type="expression" dxfId="1418" priority="8">
      <formula>kvartal &lt; 4</formula>
    </cfRule>
  </conditionalFormatting>
  <conditionalFormatting sqref="A113">
    <cfRule type="expression" dxfId="1417" priority="7">
      <formula>kvartal &lt; 4</formula>
    </cfRule>
  </conditionalFormatting>
  <conditionalFormatting sqref="A121">
    <cfRule type="expression" dxfId="1416" priority="6">
      <formula>kvartal &lt; 4</formula>
    </cfRule>
  </conditionalFormatting>
  <conditionalFormatting sqref="A26">
    <cfRule type="expression" dxfId="1415" priority="5">
      <formula>kvartal &lt; 4</formula>
    </cfRule>
  </conditionalFormatting>
  <conditionalFormatting sqref="A29:A31">
    <cfRule type="expression" dxfId="1414" priority="4">
      <formula>kvartal &lt; 4</formula>
    </cfRule>
  </conditionalFormatting>
  <conditionalFormatting sqref="A78:A83">
    <cfRule type="expression" dxfId="1413" priority="3">
      <formula>kvartal &lt; 4</formula>
    </cfRule>
  </conditionalFormatting>
  <conditionalFormatting sqref="A88:A93">
    <cfRule type="expression" dxfId="1412" priority="2">
      <formula>kvartal &lt; 4</formula>
    </cfRule>
  </conditionalFormatting>
  <conditionalFormatting sqref="A99:A104">
    <cfRule type="expression" dxfId="1411" priority="1">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42"/>
  <sheetViews>
    <sheetView showGridLines="0" zoomScaleNormal="100" zoomScaleSheetLayoutView="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140</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621732</v>
      </c>
      <c r="C7" s="296">
        <v>622466</v>
      </c>
      <c r="D7" s="336">
        <f t="shared" ref="D7:D9" si="0">IF(B7=0, "    ---- ", IF(ABS(ROUND(100/B7*C7-100,1))&lt;999,ROUND(100/B7*C7-100,1),IF(ROUND(100/B7*C7-100,1)&gt;999,999,-999)))</f>
        <v>0.1</v>
      </c>
      <c r="E7" s="11">
        <f>IFERROR(100/'Skjema total MA'!C7*C7,0)</f>
        <v>17.010394983147325</v>
      </c>
      <c r="F7" s="295"/>
      <c r="G7" s="296"/>
      <c r="H7" s="336"/>
      <c r="I7" s="157"/>
      <c r="J7" s="297">
        <f t="shared" ref="J7:K9" si="1">SUM(B7,F7)</f>
        <v>621732</v>
      </c>
      <c r="K7" s="298">
        <f t="shared" si="1"/>
        <v>622466</v>
      </c>
      <c r="L7" s="410">
        <f>IF(J7=0, "    ---- ", IF(ABS(ROUND(100/J7*K7-100,1))&lt;999,ROUND(100/J7*K7-100,1),IF(ROUND(100/J7*K7-100,1)&gt;999,999,-999)))</f>
        <v>0.1</v>
      </c>
      <c r="M7" s="11">
        <f>IFERROR(100/'Skjema total MA'!I7*K7,0)</f>
        <v>6.2349811384946445</v>
      </c>
      <c r="O7" s="145"/>
    </row>
    <row r="8" spans="1:15" ht="15.75" x14ac:dyDescent="0.2">
      <c r="A8" s="19" t="s">
        <v>26</v>
      </c>
      <c r="B8" s="278">
        <v>346765</v>
      </c>
      <c r="C8" s="279">
        <v>359837</v>
      </c>
      <c r="D8" s="163">
        <f t="shared" si="0"/>
        <v>3.8</v>
      </c>
      <c r="E8" s="25">
        <f>IFERROR(100/'Skjema total MA'!C8*C8,0)</f>
        <v>18.246705548096298</v>
      </c>
      <c r="F8" s="653"/>
      <c r="G8" s="654"/>
      <c r="H8" s="163"/>
      <c r="I8" s="173"/>
      <c r="J8" s="232">
        <f t="shared" si="1"/>
        <v>346765</v>
      </c>
      <c r="K8" s="282">
        <f t="shared" si="1"/>
        <v>359837</v>
      </c>
      <c r="L8" s="253"/>
      <c r="M8" s="25">
        <f>IFERROR(100/'Skjema total MA'!I8*K8,0)</f>
        <v>18.246705548096298</v>
      </c>
      <c r="O8" s="145"/>
    </row>
    <row r="9" spans="1:15" ht="15.75" x14ac:dyDescent="0.2">
      <c r="A9" s="19" t="s">
        <v>25</v>
      </c>
      <c r="B9" s="278">
        <v>274967</v>
      </c>
      <c r="C9" s="279">
        <v>262629</v>
      </c>
      <c r="D9" s="163">
        <f t="shared" si="0"/>
        <v>-4.5</v>
      </c>
      <c r="E9" s="25">
        <f>IFERROR(100/'Skjema total MA'!C9*C9,0)</f>
        <v>29.246582754564418</v>
      </c>
      <c r="F9" s="653"/>
      <c r="G9" s="654"/>
      <c r="H9" s="163"/>
      <c r="I9" s="173"/>
      <c r="J9" s="232">
        <f t="shared" si="1"/>
        <v>274967</v>
      </c>
      <c r="K9" s="282">
        <f t="shared" si="1"/>
        <v>262629</v>
      </c>
      <c r="L9" s="253"/>
      <c r="M9" s="25">
        <f>IFERROR(100/'Skjema total MA'!I9*K9,0)</f>
        <v>29.246582754564418</v>
      </c>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658290</v>
      </c>
      <c r="C45" s="300">
        <v>723015</v>
      </c>
      <c r="D45" s="410">
        <f t="shared" ref="D45:D55" si="2">IF(B45=0, "    ---- ", IF(ABS(ROUND(100/B45*C45-100,1))&lt;999,ROUND(100/B45*C45-100,1),IF(ROUND(100/B45*C45-100,1)&gt;999,999,-999)))</f>
        <v>9.8000000000000007</v>
      </c>
      <c r="E45" s="11">
        <f>IFERROR(100/'Skjema total MA'!C45*C45,0)</f>
        <v>21.65825852425667</v>
      </c>
      <c r="F45" s="142"/>
      <c r="G45" s="31"/>
      <c r="H45" s="156"/>
      <c r="I45" s="156"/>
      <c r="J45" s="35"/>
      <c r="K45" s="35"/>
      <c r="L45" s="156"/>
      <c r="M45" s="156"/>
      <c r="N45" s="145"/>
      <c r="O45" s="145"/>
    </row>
    <row r="46" spans="1:15" s="3" customFormat="1" ht="15.75" x14ac:dyDescent="0.2">
      <c r="A46" s="36" t="s">
        <v>407</v>
      </c>
      <c r="B46" s="278">
        <v>449522</v>
      </c>
      <c r="C46" s="279">
        <v>431422</v>
      </c>
      <c r="D46" s="253">
        <f t="shared" si="2"/>
        <v>-4</v>
      </c>
      <c r="E46" s="25">
        <f>IFERROR(100/'Skjema total MA'!C46*C46,0)</f>
        <v>23.703378010249899</v>
      </c>
      <c r="F46" s="142"/>
      <c r="G46" s="31"/>
      <c r="H46" s="142"/>
      <c r="I46" s="142"/>
      <c r="J46" s="31"/>
      <c r="K46" s="31"/>
      <c r="L46" s="156"/>
      <c r="M46" s="156"/>
      <c r="N46" s="145"/>
      <c r="O46" s="145"/>
    </row>
    <row r="47" spans="1:15" s="3" customFormat="1" ht="15.75" x14ac:dyDescent="0.2">
      <c r="A47" s="36" t="s">
        <v>408</v>
      </c>
      <c r="B47" s="42">
        <v>208768</v>
      </c>
      <c r="C47" s="282">
        <v>291593</v>
      </c>
      <c r="D47" s="253">
        <f>IF(B47=0, "    ---- ", IF(ABS(ROUND(100/B47*C47-100,1))&lt;999,ROUND(100/B47*C47-100,1),IF(ROUND(100/B47*C47-100,1)&gt;999,999,-999)))</f>
        <v>39.700000000000003</v>
      </c>
      <c r="E47" s="25">
        <f>IFERROR(100/'Skjema total MA'!C47*C47,0)</f>
        <v>19.206479100387437</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60328</v>
      </c>
      <c r="C51" s="300">
        <v>102260</v>
      </c>
      <c r="D51" s="411">
        <f t="shared" si="2"/>
        <v>69.5</v>
      </c>
      <c r="E51" s="11">
        <f>IFERROR(100/'Skjema total MA'!C51*C51,0)</f>
        <v>67.354833800729068</v>
      </c>
      <c r="F51" s="142"/>
      <c r="G51" s="31"/>
      <c r="H51" s="142"/>
      <c r="I51" s="142"/>
      <c r="J51" s="31"/>
      <c r="K51" s="31"/>
      <c r="L51" s="156"/>
      <c r="M51" s="156"/>
      <c r="N51" s="145"/>
      <c r="O51" s="145"/>
    </row>
    <row r="52" spans="1:15" s="3" customFormat="1" ht="15.75" x14ac:dyDescent="0.2">
      <c r="A52" s="36" t="s">
        <v>407</v>
      </c>
      <c r="B52" s="278">
        <v>60328</v>
      </c>
      <c r="C52" s="279">
        <v>47094</v>
      </c>
      <c r="D52" s="253">
        <f t="shared" si="2"/>
        <v>-21.9</v>
      </c>
      <c r="E52" s="25">
        <f>IFERROR(100/'Skjema total MA'!C52*C52,0)</f>
        <v>49.848684146738158</v>
      </c>
      <c r="F52" s="142"/>
      <c r="G52" s="31"/>
      <c r="H52" s="142"/>
      <c r="I52" s="142"/>
      <c r="J52" s="31"/>
      <c r="K52" s="31"/>
      <c r="L52" s="156"/>
      <c r="M52" s="156"/>
      <c r="N52" s="145"/>
      <c r="O52" s="145"/>
    </row>
    <row r="53" spans="1:15" s="3" customFormat="1" ht="15.75" x14ac:dyDescent="0.2">
      <c r="A53" s="36" t="s">
        <v>408</v>
      </c>
      <c r="B53" s="278">
        <v>0</v>
      </c>
      <c r="C53" s="279">
        <v>55166</v>
      </c>
      <c r="D53" s="253" t="str">
        <f t="shared" si="2"/>
        <v xml:space="preserve">    ---- </v>
      </c>
      <c r="E53" s="25">
        <f>IFERROR(100/'Skjema total MA'!C53*C53,0)</f>
        <v>96.193649747423223</v>
      </c>
      <c r="F53" s="142"/>
      <c r="G53" s="31"/>
      <c r="H53" s="142"/>
      <c r="I53" s="142"/>
      <c r="J53" s="31"/>
      <c r="K53" s="31"/>
      <c r="L53" s="156"/>
      <c r="M53" s="156"/>
      <c r="N53" s="145"/>
      <c r="O53" s="145"/>
    </row>
    <row r="54" spans="1:15" s="3" customFormat="1" ht="15.75" x14ac:dyDescent="0.2">
      <c r="A54" s="37" t="s">
        <v>410</v>
      </c>
      <c r="B54" s="299">
        <v>54070</v>
      </c>
      <c r="C54" s="300">
        <v>37502</v>
      </c>
      <c r="D54" s="411">
        <f t="shared" si="2"/>
        <v>-30.6</v>
      </c>
      <c r="E54" s="11">
        <f>IFERROR(100/'Skjema total MA'!C54*C54,0)</f>
        <v>33.422828954337007</v>
      </c>
      <c r="F54" s="142"/>
      <c r="G54" s="31"/>
      <c r="H54" s="142"/>
      <c r="I54" s="142"/>
      <c r="J54" s="31"/>
      <c r="K54" s="31"/>
      <c r="L54" s="156"/>
      <c r="M54" s="156"/>
      <c r="N54" s="145"/>
      <c r="O54" s="145"/>
    </row>
    <row r="55" spans="1:15" s="3" customFormat="1" ht="15.75" x14ac:dyDescent="0.2">
      <c r="A55" s="36" t="s">
        <v>407</v>
      </c>
      <c r="B55" s="278">
        <v>54070</v>
      </c>
      <c r="C55" s="279">
        <v>37502</v>
      </c>
      <c r="D55" s="253">
        <f t="shared" si="2"/>
        <v>-30.6</v>
      </c>
      <c r="E55" s="25">
        <f>IFERROR(100/'Skjema total MA'!C55*C55,0)</f>
        <v>33.422828954337007</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410" priority="142">
      <formula>kvartal &lt; 4</formula>
    </cfRule>
  </conditionalFormatting>
  <conditionalFormatting sqref="B29">
    <cfRule type="expression" dxfId="1409" priority="140">
      <formula>kvartal &lt; 4</formula>
    </cfRule>
  </conditionalFormatting>
  <conditionalFormatting sqref="B30">
    <cfRule type="expression" dxfId="1408" priority="139">
      <formula>kvartal &lt; 4</formula>
    </cfRule>
  </conditionalFormatting>
  <conditionalFormatting sqref="B31">
    <cfRule type="expression" dxfId="1407" priority="138">
      <formula>kvartal &lt; 4</formula>
    </cfRule>
  </conditionalFormatting>
  <conditionalFormatting sqref="C29">
    <cfRule type="expression" dxfId="1406" priority="137">
      <formula>kvartal &lt; 4</formula>
    </cfRule>
  </conditionalFormatting>
  <conditionalFormatting sqref="C30">
    <cfRule type="expression" dxfId="1405" priority="136">
      <formula>kvartal &lt; 4</formula>
    </cfRule>
  </conditionalFormatting>
  <conditionalFormatting sqref="C31">
    <cfRule type="expression" dxfId="1404" priority="135">
      <formula>kvartal &lt; 4</formula>
    </cfRule>
  </conditionalFormatting>
  <conditionalFormatting sqref="B23:C25">
    <cfRule type="expression" dxfId="1403" priority="134">
      <formula>kvartal &lt; 4</formula>
    </cfRule>
  </conditionalFormatting>
  <conditionalFormatting sqref="F23:G25">
    <cfRule type="expression" dxfId="1402" priority="130">
      <formula>kvartal &lt; 4</formula>
    </cfRule>
  </conditionalFormatting>
  <conditionalFormatting sqref="F29">
    <cfRule type="expression" dxfId="1401" priority="123">
      <formula>kvartal &lt; 4</formula>
    </cfRule>
  </conditionalFormatting>
  <conditionalFormatting sqref="F30">
    <cfRule type="expression" dxfId="1400" priority="122">
      <formula>kvartal &lt; 4</formula>
    </cfRule>
  </conditionalFormatting>
  <conditionalFormatting sqref="F31">
    <cfRule type="expression" dxfId="1399" priority="121">
      <formula>kvartal &lt; 4</formula>
    </cfRule>
  </conditionalFormatting>
  <conditionalFormatting sqref="G29">
    <cfRule type="expression" dxfId="1398" priority="120">
      <formula>kvartal &lt; 4</formula>
    </cfRule>
  </conditionalFormatting>
  <conditionalFormatting sqref="G30">
    <cfRule type="expression" dxfId="1397" priority="119">
      <formula>kvartal &lt; 4</formula>
    </cfRule>
  </conditionalFormatting>
  <conditionalFormatting sqref="G31">
    <cfRule type="expression" dxfId="1396" priority="118">
      <formula>kvartal &lt; 4</formula>
    </cfRule>
  </conditionalFormatting>
  <conditionalFormatting sqref="B26">
    <cfRule type="expression" dxfId="1395" priority="117">
      <formula>kvartal &lt; 4</formula>
    </cfRule>
  </conditionalFormatting>
  <conditionalFormatting sqref="C26">
    <cfRule type="expression" dxfId="1394" priority="116">
      <formula>kvartal &lt; 4</formula>
    </cfRule>
  </conditionalFormatting>
  <conditionalFormatting sqref="F26">
    <cfRule type="expression" dxfId="1393" priority="115">
      <formula>kvartal &lt; 4</formula>
    </cfRule>
  </conditionalFormatting>
  <conditionalFormatting sqref="G26">
    <cfRule type="expression" dxfId="1392" priority="114">
      <formula>kvartal &lt; 4</formula>
    </cfRule>
  </conditionalFormatting>
  <conditionalFormatting sqref="J23:K26">
    <cfRule type="expression" dxfId="1391" priority="113">
      <formula>kvartal &lt; 4</formula>
    </cfRule>
  </conditionalFormatting>
  <conditionalFormatting sqref="J29:K31">
    <cfRule type="expression" dxfId="1390" priority="111">
      <formula>kvartal &lt; 4</formula>
    </cfRule>
  </conditionalFormatting>
  <conditionalFormatting sqref="B67">
    <cfRule type="expression" dxfId="1389" priority="110">
      <formula>kvartal &lt; 4</formula>
    </cfRule>
  </conditionalFormatting>
  <conditionalFormatting sqref="C67">
    <cfRule type="expression" dxfId="1388" priority="109">
      <formula>kvartal &lt; 4</formula>
    </cfRule>
  </conditionalFormatting>
  <conditionalFormatting sqref="B70">
    <cfRule type="expression" dxfId="1387" priority="108">
      <formula>kvartal &lt; 4</formula>
    </cfRule>
  </conditionalFormatting>
  <conditionalFormatting sqref="C70">
    <cfRule type="expression" dxfId="1386" priority="107">
      <formula>kvartal &lt; 4</formula>
    </cfRule>
  </conditionalFormatting>
  <conditionalFormatting sqref="B78">
    <cfRule type="expression" dxfId="1385" priority="106">
      <formula>kvartal &lt; 4</formula>
    </cfRule>
  </conditionalFormatting>
  <conditionalFormatting sqref="C78">
    <cfRule type="expression" dxfId="1384" priority="105">
      <formula>kvartal &lt; 4</formula>
    </cfRule>
  </conditionalFormatting>
  <conditionalFormatting sqref="B81">
    <cfRule type="expression" dxfId="1383" priority="104">
      <formula>kvartal &lt; 4</formula>
    </cfRule>
  </conditionalFormatting>
  <conditionalFormatting sqref="C81">
    <cfRule type="expression" dxfId="1382" priority="103">
      <formula>kvartal &lt; 4</formula>
    </cfRule>
  </conditionalFormatting>
  <conditionalFormatting sqref="B88">
    <cfRule type="expression" dxfId="1381" priority="94">
      <formula>kvartal &lt; 4</formula>
    </cfRule>
  </conditionalFormatting>
  <conditionalFormatting sqref="C88">
    <cfRule type="expression" dxfId="1380" priority="93">
      <formula>kvartal &lt; 4</formula>
    </cfRule>
  </conditionalFormatting>
  <conditionalFormatting sqref="B91">
    <cfRule type="expression" dxfId="1379" priority="92">
      <formula>kvartal &lt; 4</formula>
    </cfRule>
  </conditionalFormatting>
  <conditionalFormatting sqref="C91">
    <cfRule type="expression" dxfId="1378" priority="91">
      <formula>kvartal &lt; 4</formula>
    </cfRule>
  </conditionalFormatting>
  <conditionalFormatting sqref="B99">
    <cfRule type="expression" dxfId="1377" priority="90">
      <formula>kvartal &lt; 4</formula>
    </cfRule>
  </conditionalFormatting>
  <conditionalFormatting sqref="C99">
    <cfRule type="expression" dxfId="1376" priority="89">
      <formula>kvartal &lt; 4</formula>
    </cfRule>
  </conditionalFormatting>
  <conditionalFormatting sqref="B102">
    <cfRule type="expression" dxfId="1375" priority="88">
      <formula>kvartal &lt; 4</formula>
    </cfRule>
  </conditionalFormatting>
  <conditionalFormatting sqref="C102">
    <cfRule type="expression" dxfId="1374" priority="87">
      <formula>kvartal &lt; 4</formula>
    </cfRule>
  </conditionalFormatting>
  <conditionalFormatting sqref="B113">
    <cfRule type="expression" dxfId="1373" priority="86">
      <formula>kvartal &lt; 4</formula>
    </cfRule>
  </conditionalFormatting>
  <conditionalFormatting sqref="C113">
    <cfRule type="expression" dxfId="1372" priority="85">
      <formula>kvartal &lt; 4</formula>
    </cfRule>
  </conditionalFormatting>
  <conditionalFormatting sqref="B121">
    <cfRule type="expression" dxfId="1371" priority="84">
      <formula>kvartal &lt; 4</formula>
    </cfRule>
  </conditionalFormatting>
  <conditionalFormatting sqref="C121">
    <cfRule type="expression" dxfId="1370" priority="83">
      <formula>kvartal &lt; 4</formula>
    </cfRule>
  </conditionalFormatting>
  <conditionalFormatting sqref="F68">
    <cfRule type="expression" dxfId="1369" priority="82">
      <formula>kvartal &lt; 4</formula>
    </cfRule>
  </conditionalFormatting>
  <conditionalFormatting sqref="G68">
    <cfRule type="expression" dxfId="1368" priority="81">
      <formula>kvartal &lt; 4</formula>
    </cfRule>
  </conditionalFormatting>
  <conditionalFormatting sqref="F69:G69">
    <cfRule type="expression" dxfId="1367" priority="80">
      <formula>kvartal &lt; 4</formula>
    </cfRule>
  </conditionalFormatting>
  <conditionalFormatting sqref="F71:G72">
    <cfRule type="expression" dxfId="1366" priority="79">
      <formula>kvartal &lt; 4</formula>
    </cfRule>
  </conditionalFormatting>
  <conditionalFormatting sqref="F79:G80">
    <cfRule type="expression" dxfId="1365" priority="78">
      <formula>kvartal &lt; 4</formula>
    </cfRule>
  </conditionalFormatting>
  <conditionalFormatting sqref="F82:G83">
    <cfRule type="expression" dxfId="1364" priority="77">
      <formula>kvartal &lt; 4</formula>
    </cfRule>
  </conditionalFormatting>
  <conditionalFormatting sqref="F89:G90">
    <cfRule type="expression" dxfId="1363" priority="72">
      <formula>kvartal &lt; 4</formula>
    </cfRule>
  </conditionalFormatting>
  <conditionalFormatting sqref="F92:G93">
    <cfRule type="expression" dxfId="1362" priority="71">
      <formula>kvartal &lt; 4</formula>
    </cfRule>
  </conditionalFormatting>
  <conditionalFormatting sqref="F100:G101">
    <cfRule type="expression" dxfId="1361" priority="70">
      <formula>kvartal &lt; 4</formula>
    </cfRule>
  </conditionalFormatting>
  <conditionalFormatting sqref="F103:G104">
    <cfRule type="expression" dxfId="1360" priority="69">
      <formula>kvartal &lt; 4</formula>
    </cfRule>
  </conditionalFormatting>
  <conditionalFormatting sqref="F113">
    <cfRule type="expression" dxfId="1359" priority="68">
      <formula>kvartal &lt; 4</formula>
    </cfRule>
  </conditionalFormatting>
  <conditionalFormatting sqref="G113">
    <cfRule type="expression" dxfId="1358" priority="67">
      <formula>kvartal &lt; 4</formula>
    </cfRule>
  </conditionalFormatting>
  <conditionalFormatting sqref="F121:G121">
    <cfRule type="expression" dxfId="1357" priority="66">
      <formula>kvartal &lt; 4</formula>
    </cfRule>
  </conditionalFormatting>
  <conditionalFormatting sqref="F67:G67">
    <cfRule type="expression" dxfId="1356" priority="65">
      <formula>kvartal &lt; 4</formula>
    </cfRule>
  </conditionalFormatting>
  <conditionalFormatting sqref="F70:G70">
    <cfRule type="expression" dxfId="1355" priority="64">
      <formula>kvartal &lt; 4</formula>
    </cfRule>
  </conditionalFormatting>
  <conditionalFormatting sqref="F78:G78">
    <cfRule type="expression" dxfId="1354" priority="63">
      <formula>kvartal &lt; 4</formula>
    </cfRule>
  </conditionalFormatting>
  <conditionalFormatting sqref="F81:G81">
    <cfRule type="expression" dxfId="1353" priority="62">
      <formula>kvartal &lt; 4</formula>
    </cfRule>
  </conditionalFormatting>
  <conditionalFormatting sqref="F88:G88">
    <cfRule type="expression" dxfId="1352" priority="56">
      <formula>kvartal &lt; 4</formula>
    </cfRule>
  </conditionalFormatting>
  <conditionalFormatting sqref="F91">
    <cfRule type="expression" dxfId="1351" priority="55">
      <formula>kvartal &lt; 4</formula>
    </cfRule>
  </conditionalFormatting>
  <conditionalFormatting sqref="G91">
    <cfRule type="expression" dxfId="1350" priority="54">
      <formula>kvartal &lt; 4</formula>
    </cfRule>
  </conditionalFormatting>
  <conditionalFormatting sqref="F99">
    <cfRule type="expression" dxfId="1349" priority="53">
      <formula>kvartal &lt; 4</formula>
    </cfRule>
  </conditionalFormatting>
  <conditionalFormatting sqref="G99">
    <cfRule type="expression" dxfId="1348" priority="52">
      <formula>kvartal &lt; 4</formula>
    </cfRule>
  </conditionalFormatting>
  <conditionalFormatting sqref="G102">
    <cfRule type="expression" dxfId="1347" priority="51">
      <formula>kvartal &lt; 4</formula>
    </cfRule>
  </conditionalFormatting>
  <conditionalFormatting sqref="F102">
    <cfRule type="expression" dxfId="1346" priority="50">
      <formula>kvartal &lt; 4</formula>
    </cfRule>
  </conditionalFormatting>
  <conditionalFormatting sqref="J67:K71">
    <cfRule type="expression" dxfId="1345" priority="49">
      <formula>kvartal &lt; 4</formula>
    </cfRule>
  </conditionalFormatting>
  <conditionalFormatting sqref="J72:K72">
    <cfRule type="expression" dxfId="1344" priority="48">
      <formula>kvartal &lt; 4</formula>
    </cfRule>
  </conditionalFormatting>
  <conditionalFormatting sqref="J78:K83">
    <cfRule type="expression" dxfId="1343" priority="47">
      <formula>kvartal &lt; 4</formula>
    </cfRule>
  </conditionalFormatting>
  <conditionalFormatting sqref="J88:K93">
    <cfRule type="expression" dxfId="1342" priority="44">
      <formula>kvartal &lt; 4</formula>
    </cfRule>
  </conditionalFormatting>
  <conditionalFormatting sqref="J99:K104">
    <cfRule type="expression" dxfId="1341" priority="43">
      <formula>kvartal &lt; 4</formula>
    </cfRule>
  </conditionalFormatting>
  <conditionalFormatting sqref="J113:K113">
    <cfRule type="expression" dxfId="1340" priority="42">
      <formula>kvartal &lt; 4</formula>
    </cfRule>
  </conditionalFormatting>
  <conditionalFormatting sqref="J121:K121">
    <cfRule type="expression" dxfId="1339" priority="41">
      <formula>kvartal &lt; 4</formula>
    </cfRule>
  </conditionalFormatting>
  <conditionalFormatting sqref="A23:A25">
    <cfRule type="expression" dxfId="1338" priority="10">
      <formula>kvartal &lt; 4</formula>
    </cfRule>
  </conditionalFormatting>
  <conditionalFormatting sqref="A48:A50">
    <cfRule type="expression" dxfId="1337" priority="9">
      <formula>kvartal &lt; 4</formula>
    </cfRule>
  </conditionalFormatting>
  <conditionalFormatting sqref="A67:A72">
    <cfRule type="expression" dxfId="1336" priority="8">
      <formula>kvartal &lt; 4</formula>
    </cfRule>
  </conditionalFormatting>
  <conditionalFormatting sqref="A113">
    <cfRule type="expression" dxfId="1335" priority="7">
      <formula>kvartal &lt; 4</formula>
    </cfRule>
  </conditionalFormatting>
  <conditionalFormatting sqref="A121">
    <cfRule type="expression" dxfId="1334" priority="6">
      <formula>kvartal &lt; 4</formula>
    </cfRule>
  </conditionalFormatting>
  <conditionalFormatting sqref="A26">
    <cfRule type="expression" dxfId="1333" priority="5">
      <formula>kvartal &lt; 4</formula>
    </cfRule>
  </conditionalFormatting>
  <conditionalFormatting sqref="A29:A31">
    <cfRule type="expression" dxfId="1332" priority="4">
      <formula>kvartal &lt; 4</formula>
    </cfRule>
  </conditionalFormatting>
  <conditionalFormatting sqref="A78:A83">
    <cfRule type="expression" dxfId="1331" priority="3">
      <formula>kvartal &lt; 4</formula>
    </cfRule>
  </conditionalFormatting>
  <conditionalFormatting sqref="A88:A93">
    <cfRule type="expression" dxfId="1330" priority="2">
      <formula>kvartal &lt; 4</formula>
    </cfRule>
  </conditionalFormatting>
  <conditionalFormatting sqref="A99:A104">
    <cfRule type="expression" dxfId="1329" priority="1">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141</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v>79639.878670000006</v>
      </c>
      <c r="G7" s="296">
        <v>115363.40399999999</v>
      </c>
      <c r="H7" s="336">
        <f>IF(F7=0, "    ---- ", IF(ABS(ROUND(100/F7*G7-100,1))&lt;999,ROUND(100/F7*G7-100,1),IF(ROUND(100/F7*G7-100,1)&gt;999,999,-999)))</f>
        <v>44.9</v>
      </c>
      <c r="I7" s="157">
        <f>IFERROR(100/'Skjema total MA'!F7*G7,0)</f>
        <v>1.8241813481826241</v>
      </c>
      <c r="J7" s="297">
        <f t="shared" ref="J7:K12" si="0">SUM(B7,F7)</f>
        <v>79639.878670000006</v>
      </c>
      <c r="K7" s="298">
        <f t="shared" si="0"/>
        <v>115363.40399999999</v>
      </c>
      <c r="L7" s="410">
        <f>IF(J7=0, "    ---- ", IF(ABS(ROUND(100/J7*K7-100,1))&lt;999,ROUND(100/J7*K7-100,1),IF(ROUND(100/J7*K7-100,1)&gt;999,999,-999)))</f>
        <v>44.9</v>
      </c>
      <c r="M7" s="11">
        <f>IFERROR(100/'Skjema total MA'!I7*K7,0)</f>
        <v>1.1555468861151252</v>
      </c>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v>314046.8273</v>
      </c>
      <c r="G10" s="300">
        <v>483002.04</v>
      </c>
      <c r="H10" s="168">
        <f>IF(F10=0, "    ---- ", IF(ABS(ROUND(100/F10*G10-100,1))&lt;999,ROUND(100/F10*G10-100,1),IF(ROUND(100/F10*G10-100,1)&gt;999,999,-999)))</f>
        <v>53.8</v>
      </c>
      <c r="I10" s="157">
        <f>IFERROR(100/'Skjema total MA'!F10*G10,0)</f>
        <v>1.2361331980663028</v>
      </c>
      <c r="J10" s="297">
        <f t="shared" si="0"/>
        <v>314046.8273</v>
      </c>
      <c r="K10" s="298">
        <f t="shared" si="0"/>
        <v>483002.04</v>
      </c>
      <c r="L10" s="411">
        <f>IF(J10=0, "    ---- ", IF(ABS(ROUND(100/J10*K10-100,1))&lt;999,ROUND(100/J10*K10-100,1),IF(ROUND(100/J10*K10-100,1)&gt;999,999,-999)))</f>
        <v>53.8</v>
      </c>
      <c r="M10" s="11">
        <f>IFERROR(100/'Skjema total MA'!I10*K10,0)</f>
        <v>0.78463471779973504</v>
      </c>
      <c r="O10" s="145"/>
    </row>
    <row r="11" spans="1:15" s="41" customFormat="1" ht="15.75" x14ac:dyDescent="0.2">
      <c r="A11" s="13" t="s">
        <v>399</v>
      </c>
      <c r="B11" s="299"/>
      <c r="C11" s="300"/>
      <c r="D11" s="168"/>
      <c r="E11" s="11"/>
      <c r="F11" s="299">
        <v>8084.2499699999998</v>
      </c>
      <c r="G11" s="300">
        <v>5825.2030000000004</v>
      </c>
      <c r="H11" s="168">
        <f>IF(F11=0, "    ---- ", IF(ABS(ROUND(100/F11*G11-100,1))&lt;999,ROUND(100/F11*G11-100,1),IF(ROUND(100/F11*G11-100,1)&gt;999,999,-999)))</f>
        <v>-27.9</v>
      </c>
      <c r="I11" s="157">
        <f>IFERROR(100/'Skjema total MA'!F11*G11,0)</f>
        <v>2.9409278454464673</v>
      </c>
      <c r="J11" s="297">
        <f t="shared" si="0"/>
        <v>8084.2499699999998</v>
      </c>
      <c r="K11" s="298">
        <f t="shared" si="0"/>
        <v>5825.2030000000004</v>
      </c>
      <c r="L11" s="411">
        <f>IF(J11=0, "    ---- ", IF(ABS(ROUND(100/J11*K11-100,1))&lt;999,ROUND(100/J11*K11-100,1),IF(ROUND(100/J11*K11-100,1)&gt;999,999,-999)))</f>
        <v>-27.9</v>
      </c>
      <c r="M11" s="11">
        <f>IFERROR(100/'Skjema total MA'!I11*K11,0)</f>
        <v>2.0545884552250882</v>
      </c>
      <c r="N11" s="140"/>
      <c r="O11" s="145"/>
    </row>
    <row r="12" spans="1:15" s="41" customFormat="1" ht="15.75" x14ac:dyDescent="0.2">
      <c r="A12" s="39" t="s">
        <v>400</v>
      </c>
      <c r="B12" s="301"/>
      <c r="C12" s="302"/>
      <c r="D12" s="166"/>
      <c r="E12" s="34"/>
      <c r="F12" s="301">
        <v>1005.86153</v>
      </c>
      <c r="G12" s="302">
        <v>609.69600000000003</v>
      </c>
      <c r="H12" s="166">
        <f>IF(F12=0, "    ---- ", IF(ABS(ROUND(100/F12*G12-100,1))&lt;999,ROUND(100/F12*G12-100,1),IF(ROUND(100/F12*G12-100,1)&gt;999,999,-999)))</f>
        <v>-39.4</v>
      </c>
      <c r="I12" s="166">
        <f>IFERROR(100/'Skjema total MA'!F12*G12,0)</f>
        <v>0.61399065445893986</v>
      </c>
      <c r="J12" s="303">
        <f t="shared" si="0"/>
        <v>1005.86153</v>
      </c>
      <c r="K12" s="304">
        <f t="shared" si="0"/>
        <v>609.69600000000003</v>
      </c>
      <c r="L12" s="412">
        <f>IF(J12=0, "    ---- ", IF(ABS(ROUND(100/J12*K12-100,1))&lt;999,ROUND(100/J12*K12-100,1),IF(ROUND(100/J12*K12-100,1)&gt;999,999,-999)))</f>
        <v>-39.4</v>
      </c>
      <c r="M12" s="34">
        <f>IFERROR(100/'Skjema total MA'!I12*K12,0)</f>
        <v>0.48048595495337204</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216412.64799999999</v>
      </c>
      <c r="C22" s="306">
        <v>246436.33199999999</v>
      </c>
      <c r="D22" s="336">
        <f t="shared" ref="D22:D28" si="1">IF(B22=0, "    ---- ", IF(ABS(ROUND(100/B22*C22-100,1))&lt;999,ROUND(100/B22*C22-100,1),IF(ROUND(100/B22*C22-100,1)&gt;999,999,-999)))</f>
        <v>13.9</v>
      </c>
      <c r="E22" s="11">
        <f>IFERROR(100/'Skjema total MA'!C22*C22,0)</f>
        <v>19.300702488469753</v>
      </c>
      <c r="F22" s="307">
        <v>5756.393</v>
      </c>
      <c r="G22" s="306">
        <v>5658.4430000000002</v>
      </c>
      <c r="H22" s="336">
        <f>IF(F22=0, "    ---- ", IF(ABS(ROUND(100/F22*G22-100,1))&lt;999,ROUND(100/F22*G22-100,1),IF(ROUND(100/F22*G22-100,1)&gt;999,999,-999)))</f>
        <v>-1.7</v>
      </c>
      <c r="I22" s="11">
        <f>IFERROR(100/'Skjema total MA'!F22*G22,0)</f>
        <v>2.0373323876929947</v>
      </c>
      <c r="J22" s="305">
        <f>SUM(B22,F22)</f>
        <v>222169.041</v>
      </c>
      <c r="K22" s="305">
        <f>SUM(C22,G22)</f>
        <v>252094.77499999999</v>
      </c>
      <c r="L22" s="410">
        <f>IF(J22=0, "    ---- ", IF(ABS(ROUND(100/J22*K22-100,1))&lt;999,ROUND(100/J22*K22-100,1),IF(ROUND(100/J22*K22-100,1)&gt;999,999,-999)))</f>
        <v>13.5</v>
      </c>
      <c r="M22" s="22">
        <f>IFERROR(100/'Skjema total MA'!I22*K22,0)</f>
        <v>16.216434148921177</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216412.64799999999</v>
      </c>
      <c r="C27" s="282">
        <v>246436.33199999999</v>
      </c>
      <c r="D27" s="163">
        <f t="shared" si="1"/>
        <v>13.9</v>
      </c>
      <c r="E27" s="25">
        <f>IFERROR(100/'Skjema total MA'!C27*C27,0)</f>
        <v>19.168264873966791</v>
      </c>
      <c r="F27" s="232"/>
      <c r="G27" s="282"/>
      <c r="H27" s="163"/>
      <c r="I27" s="25"/>
      <c r="J27" s="42">
        <f>SUM(B27,F27)</f>
        <v>216412.64799999999</v>
      </c>
      <c r="K27" s="42">
        <f>SUM(C27,G27)</f>
        <v>246436.33199999999</v>
      </c>
      <c r="L27" s="253">
        <f>IF(J27=0, "    ---- ", IF(ABS(ROUND(100/J27*K27-100,1))&lt;999,ROUND(100/J27*K27-100,1),IF(ROUND(100/J27*K27-100,1)&gt;999,999,-999)))</f>
        <v>13.9</v>
      </c>
      <c r="M27" s="21">
        <f>IFERROR(100/'Skjema total MA'!I27*K27,0)</f>
        <v>19.168264873966791</v>
      </c>
      <c r="O27" s="145"/>
    </row>
    <row r="28" spans="1:15" s="3" customFormat="1" ht="15.75" x14ac:dyDescent="0.2">
      <c r="A28" s="13" t="s">
        <v>398</v>
      </c>
      <c r="B28" s="234">
        <v>942241.92550999997</v>
      </c>
      <c r="C28" s="298">
        <v>1232535.9369999999</v>
      </c>
      <c r="D28" s="168">
        <f t="shared" si="1"/>
        <v>30.8</v>
      </c>
      <c r="E28" s="11">
        <f>IFERROR(100/'Skjema total MA'!C28*C28,0)</f>
        <v>2.4116629261545577</v>
      </c>
      <c r="F28" s="297">
        <v>1593394.3304099999</v>
      </c>
      <c r="G28" s="298">
        <v>1567718.0319999999</v>
      </c>
      <c r="H28" s="168">
        <f>IF(F28=0, "    ---- ", IF(ABS(ROUND(100/F28*G28-100,1))&lt;999,ROUND(100/F28*G28-100,1),IF(ROUND(100/F28*G28-100,1)&gt;999,999,-999)))</f>
        <v>-1.6</v>
      </c>
      <c r="I28" s="11">
        <f>IFERROR(100/'Skjema total MA'!F28*G28,0)</f>
        <v>8.0240190885184219</v>
      </c>
      <c r="J28" s="234">
        <f>SUM(B28,F28)</f>
        <v>2535636.2559199999</v>
      </c>
      <c r="K28" s="234">
        <f>SUM(C28,G28)</f>
        <v>2800253.9689999996</v>
      </c>
      <c r="L28" s="411">
        <f>IF(J28=0, "    ---- ", IF(ABS(ROUND(100/J28*K28-100,1))&lt;999,ROUND(100/J28*K28-100,1),IF(ROUND(100/J28*K28-100,1)&gt;999,999,-999)))</f>
        <v>10.4</v>
      </c>
      <c r="M28" s="22">
        <f>IFERROR(100/'Skjema total MA'!I28*K28,0)</f>
        <v>3.9638320943648555</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v>17671.25029</v>
      </c>
      <c r="G32" s="298">
        <v>18725.77</v>
      </c>
      <c r="H32" s="168">
        <f>IF(F32=0, "    ---- ", IF(ABS(ROUND(100/F32*G32-100,1))&lt;999,ROUND(100/F32*G32-100,1),IF(ROUND(100/F32*G32-100,1)&gt;999,999,-999)))</f>
        <v>6</v>
      </c>
      <c r="I32" s="11">
        <f>IFERROR(100/'Skjema total MA'!F32*G32,0)</f>
        <v>243.5103733923342</v>
      </c>
      <c r="J32" s="234">
        <f t="shared" ref="J32:K33" si="2">SUM(B32,F32)</f>
        <v>17671.25029</v>
      </c>
      <c r="K32" s="234">
        <f t="shared" si="2"/>
        <v>18725.77</v>
      </c>
      <c r="L32" s="411">
        <f>IF(J32=0, "    ---- ", IF(ABS(ROUND(100/J32*K32-100,1))&lt;999,ROUND(100/J32*K32-100,1),IF(ROUND(100/J32*K32-100,1)&gt;999,999,-999)))</f>
        <v>6</v>
      </c>
      <c r="M32" s="22">
        <f>IFERROR(100/'Skjema total MA'!I32*K32,0)</f>
        <v>43.922963199604069</v>
      </c>
      <c r="O32" s="145"/>
    </row>
    <row r="33" spans="1:15" ht="15.75" x14ac:dyDescent="0.2">
      <c r="A33" s="13" t="s">
        <v>400</v>
      </c>
      <c r="B33" s="234"/>
      <c r="C33" s="298"/>
      <c r="D33" s="168"/>
      <c r="E33" s="11"/>
      <c r="F33" s="297">
        <v>4189.5153700000001</v>
      </c>
      <c r="G33" s="298">
        <v>3910.3270000000002</v>
      </c>
      <c r="H33" s="168">
        <f>IF(F33=0, "    ---- ", IF(ABS(ROUND(100/F33*G33-100,1))&lt;999,ROUND(100/F33*G33-100,1),IF(ROUND(100/F33*G33-100,1)&gt;999,999,-999)))</f>
        <v>-6.7</v>
      </c>
      <c r="I33" s="11">
        <f>IFERROR(100/'Skjema total MA'!F33*G33,0)</f>
        <v>4.7681768393217316</v>
      </c>
      <c r="J33" s="234">
        <f t="shared" si="2"/>
        <v>4189.5153700000001</v>
      </c>
      <c r="K33" s="234">
        <f t="shared" si="2"/>
        <v>3910.3270000000002</v>
      </c>
      <c r="L33" s="411">
        <f>IF(J33=0, "    ---- ", IF(ABS(ROUND(100/J33*K33-100,1))&lt;999,ROUND(100/J33*K33-100,1),IF(ROUND(100/J33*K33-100,1)&gt;999,999,-999)))</f>
        <v>-6.7</v>
      </c>
      <c r="M33" s="22">
        <f>IFERROR(100/'Skjema total MA'!I33*K33,0)</f>
        <v>15.853931075117501</v>
      </c>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133324.71846999999</v>
      </c>
      <c r="C64" s="338">
        <v>151213.027</v>
      </c>
      <c r="D64" s="336">
        <f>IF(B64=0, "    ---- ", IF(ABS(ROUND(100/B64*C64-100,1))&lt;999,ROUND(100/B64*C64-100,1),IF(ROUND(100/B64*C64-100,1)&gt;999,999,-999)))</f>
        <v>13.4</v>
      </c>
      <c r="E64" s="11">
        <f>IFERROR(100/'Skjema total MA'!C64*C64,0)</f>
        <v>2.2277721871917184</v>
      </c>
      <c r="F64" s="337">
        <v>1382772.35</v>
      </c>
      <c r="G64" s="337">
        <v>1730311.4369999999</v>
      </c>
      <c r="H64" s="336">
        <f>IF(F64=0, "    ---- ", IF(ABS(ROUND(100/F64*G64-100,1))&lt;999,ROUND(100/F64*G64-100,1),IF(ROUND(100/F64*G64-100,1)&gt;999,999,-999)))</f>
        <v>25.1</v>
      </c>
      <c r="I64" s="11">
        <f>IFERROR(100/'Skjema total MA'!F64*G64,0)</f>
        <v>8.7900604165261775</v>
      </c>
      <c r="J64" s="298">
        <f t="shared" ref="J64:K66" si="3">SUM(B64,F64)</f>
        <v>1516097.0684700001</v>
      </c>
      <c r="K64" s="305">
        <f t="shared" si="3"/>
        <v>1881524.4639999999</v>
      </c>
      <c r="L64" s="411">
        <f>IF(J64=0, "    ---- ", IF(ABS(ROUND(100/J64*K64-100,1))&lt;999,ROUND(100/J64*K64-100,1),IF(ROUND(100/J64*K64-100,1)&gt;999,999,-999)))</f>
        <v>24.1</v>
      </c>
      <c r="M64" s="11">
        <f>IFERROR(100/'Skjema total MA'!I64*K64,0)</f>
        <v>7.1074684777044883</v>
      </c>
      <c r="O64" s="145"/>
    </row>
    <row r="65" spans="1:15" x14ac:dyDescent="0.2">
      <c r="A65" s="402" t="s">
        <v>9</v>
      </c>
      <c r="B65" s="42">
        <v>133324.71846999999</v>
      </c>
      <c r="C65" s="142">
        <v>151213.027</v>
      </c>
      <c r="D65" s="163">
        <f>IF(B65=0, "    ---- ", IF(ABS(ROUND(100/B65*C65-100,1))&lt;999,ROUND(100/B65*C65-100,1),IF(ROUND(100/B65*C65-100,1)&gt;999,999,-999)))</f>
        <v>13.4</v>
      </c>
      <c r="E65" s="25">
        <f>IFERROR(100/'Skjema total MA'!C65*C65,0)</f>
        <v>2.3431876648735757</v>
      </c>
      <c r="F65" s="232"/>
      <c r="G65" s="142"/>
      <c r="H65" s="163"/>
      <c r="I65" s="25"/>
      <c r="J65" s="282">
        <f t="shared" si="3"/>
        <v>133324.71846999999</v>
      </c>
      <c r="K65" s="42">
        <f t="shared" si="3"/>
        <v>151213.027</v>
      </c>
      <c r="L65" s="253">
        <f>IF(J65=0, "    ---- ", IF(ABS(ROUND(100/J65*K65-100,1))&lt;999,ROUND(100/J65*K65-100,1),IF(ROUND(100/J65*K65-100,1)&gt;999,999,-999)))</f>
        <v>13.4</v>
      </c>
      <c r="M65" s="25">
        <f>IFERROR(100/'Skjema total MA'!I65*K65,0)</f>
        <v>2.3431876648735757</v>
      </c>
      <c r="O65" s="145"/>
    </row>
    <row r="66" spans="1:15" x14ac:dyDescent="0.2">
      <c r="A66" s="19" t="s">
        <v>10</v>
      </c>
      <c r="B66" s="284"/>
      <c r="C66" s="285"/>
      <c r="D66" s="163"/>
      <c r="E66" s="25"/>
      <c r="F66" s="284">
        <v>1382772.35</v>
      </c>
      <c r="G66" s="285">
        <v>1730311.4369999999</v>
      </c>
      <c r="H66" s="163">
        <f>IF(F66=0, "    ---- ", IF(ABS(ROUND(100/F66*G66-100,1))&lt;999,ROUND(100/F66*G66-100,1),IF(ROUND(100/F66*G66-100,1)&gt;999,999,-999)))</f>
        <v>25.1</v>
      </c>
      <c r="I66" s="25">
        <f>IFERROR(100/'Skjema total MA'!F66*G66,0)</f>
        <v>8.8906087793042019</v>
      </c>
      <c r="J66" s="282">
        <f t="shared" si="3"/>
        <v>1382772.35</v>
      </c>
      <c r="K66" s="42">
        <f t="shared" si="3"/>
        <v>1730311.4369999999</v>
      </c>
      <c r="L66" s="253">
        <f>IF(J66=0, "    ---- ", IF(ABS(ROUND(100/J66*K66-100,1))&lt;999,ROUND(100/J66*K66-100,1),IF(ROUND(100/J66*K66-100,1)&gt;999,999,-999)))</f>
        <v>25.1</v>
      </c>
      <c r="M66" s="25">
        <f>IFERROR(100/'Skjema total MA'!I66*K66,0)</f>
        <v>8.8280347068587197</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v>133324.71846999999</v>
      </c>
      <c r="C75" s="232">
        <v>151213.027</v>
      </c>
      <c r="D75" s="163">
        <f>IF(B75=0, "    ---- ", IF(ABS(ROUND(100/B75*C75-100,1))&lt;999,ROUND(100/B75*C75-100,1),IF(ROUND(100/B75*C75-100,1)&gt;999,999,-999)))</f>
        <v>13.4</v>
      </c>
      <c r="E75" s="25">
        <f>IFERROR(100/'Skjema total MA'!C75*C75,0)</f>
        <v>2.3673713376329428</v>
      </c>
      <c r="F75" s="232">
        <v>1382772.35</v>
      </c>
      <c r="G75" s="142">
        <v>1730311.4369999999</v>
      </c>
      <c r="H75" s="163">
        <f>IF(F75=0, "    ---- ", IF(ABS(ROUND(100/F75*G75-100,1))&lt;999,ROUND(100/F75*G75-100,1),IF(ROUND(100/F75*G75-100,1)&gt;999,999,-999)))</f>
        <v>25.1</v>
      </c>
      <c r="I75" s="25">
        <f>IFERROR(100/'Skjema total MA'!F75*G75,0)</f>
        <v>8.8950485253293508</v>
      </c>
      <c r="J75" s="282">
        <f t="shared" ref="J75:K77" si="4">SUM(B75,F75)</f>
        <v>1516097.0684700001</v>
      </c>
      <c r="K75" s="42">
        <f t="shared" si="4"/>
        <v>1881524.4639999999</v>
      </c>
      <c r="L75" s="253">
        <f>IF(J75=0, "    ---- ", IF(ABS(ROUND(100/J75*K75-100,1))&lt;999,ROUND(100/J75*K75-100,1),IF(ROUND(100/J75*K75-100,1)&gt;999,999,-999)))</f>
        <v>24.1</v>
      </c>
      <c r="M75" s="25">
        <f>IFERROR(100/'Skjema total MA'!I75*K75,0)</f>
        <v>7.2814682331366862</v>
      </c>
      <c r="O75" s="145"/>
    </row>
    <row r="76" spans="1:15" x14ac:dyDescent="0.2">
      <c r="A76" s="19" t="s">
        <v>9</v>
      </c>
      <c r="B76" s="232">
        <v>133324.71846999999</v>
      </c>
      <c r="C76" s="142">
        <v>151213.027</v>
      </c>
      <c r="D76" s="163">
        <f>IF(B76=0, "    ---- ", IF(ABS(ROUND(100/B76*C76-100,1))&lt;999,ROUND(100/B76*C76-100,1),IF(ROUND(100/B76*C76-100,1)&gt;999,999,-999)))</f>
        <v>13.4</v>
      </c>
      <c r="E76" s="25">
        <f>IFERROR(100/'Skjema total MA'!C76*C76,0)</f>
        <v>2.4184222788350263</v>
      </c>
      <c r="F76" s="232"/>
      <c r="G76" s="142"/>
      <c r="H76" s="163"/>
      <c r="I76" s="25"/>
      <c r="J76" s="282">
        <f t="shared" si="4"/>
        <v>133324.71846999999</v>
      </c>
      <c r="K76" s="42">
        <f t="shared" si="4"/>
        <v>151213.027</v>
      </c>
      <c r="L76" s="253">
        <f>IF(J76=0, "    ---- ", IF(ABS(ROUND(100/J76*K76-100,1))&lt;999,ROUND(100/J76*K76-100,1),IF(ROUND(100/J76*K76-100,1)&gt;999,999,-999)))</f>
        <v>13.4</v>
      </c>
      <c r="M76" s="25">
        <f>IFERROR(100/'Skjema total MA'!I76*K76,0)</f>
        <v>2.4184222788350263</v>
      </c>
      <c r="O76" s="145"/>
    </row>
    <row r="77" spans="1:15" x14ac:dyDescent="0.2">
      <c r="A77" s="19" t="s">
        <v>10</v>
      </c>
      <c r="B77" s="284"/>
      <c r="C77" s="285"/>
      <c r="D77" s="163"/>
      <c r="E77" s="25"/>
      <c r="F77" s="284">
        <v>1382772.35</v>
      </c>
      <c r="G77" s="285">
        <v>1730311.4369999999</v>
      </c>
      <c r="H77" s="163">
        <f>IF(F77=0, "    ---- ", IF(ABS(ROUND(100/F77*G77-100,1))&lt;999,ROUND(100/F77*G77-100,1),IF(ROUND(100/F77*G77-100,1)&gt;999,999,-999)))</f>
        <v>25.1</v>
      </c>
      <c r="I77" s="25">
        <f>IFERROR(100/'Skjema total MA'!F77*G77,0)</f>
        <v>8.8950485253293508</v>
      </c>
      <c r="J77" s="282">
        <f t="shared" si="4"/>
        <v>1382772.35</v>
      </c>
      <c r="K77" s="42">
        <f t="shared" si="4"/>
        <v>1730311.4369999999</v>
      </c>
      <c r="L77" s="253">
        <f>IF(J77=0, "    ---- ", IF(ABS(ROUND(100/J77*K77-100,1))&lt;999,ROUND(100/J77*K77-100,1),IF(ROUND(100/J77*K77-100,1)&gt;999,999,-999)))</f>
        <v>25.1</v>
      </c>
      <c r="M77" s="25">
        <f>IFERROR(100/'Skjema total MA'!I77*K77,0)</f>
        <v>8.8338181476326447</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v>4276342.84583</v>
      </c>
      <c r="C85" s="338">
        <v>4617282.1409999998</v>
      </c>
      <c r="D85" s="168">
        <f>IF(B85=0, "    ---- ", IF(ABS(ROUND(100/B85*C85-100,1))&lt;999,ROUND(100/B85*C85-100,1),IF(ROUND(100/B85*C85-100,1)&gt;999,999,-999)))</f>
        <v>8</v>
      </c>
      <c r="E85" s="11">
        <f>IFERROR(100/'Skjema total MA'!C85*C85,0)</f>
        <v>1.2290753821450624</v>
      </c>
      <c r="F85" s="337">
        <v>14949280.241010001</v>
      </c>
      <c r="G85" s="337">
        <v>19400500.418000001</v>
      </c>
      <c r="H85" s="168">
        <f>IF(F85=0, "    ---- ", IF(ABS(ROUND(100/F85*G85-100,1))&lt;999,ROUND(100/F85*G85-100,1),IF(ROUND(100/F85*G85-100,1)&gt;999,999,-999)))</f>
        <v>29.8</v>
      </c>
      <c r="I85" s="11">
        <f>IFERROR(100/'Skjema total MA'!F85*G85,0)</f>
        <v>9.215144387427852</v>
      </c>
      <c r="J85" s="298">
        <f t="shared" ref="J85:K87" si="5">SUM(B85,F85)</f>
        <v>19225623.08684</v>
      </c>
      <c r="K85" s="234">
        <f t="shared" si="5"/>
        <v>24017782.559</v>
      </c>
      <c r="L85" s="411">
        <f>IF(J85=0, "    ---- ", IF(ABS(ROUND(100/J85*K85-100,1))&lt;999,ROUND(100/J85*K85-100,1),IF(ROUND(100/J85*K85-100,1)&gt;999,999,-999)))</f>
        <v>24.9</v>
      </c>
      <c r="M85" s="11">
        <f>IFERROR(100/'Skjema total MA'!I85*K85,0)</f>
        <v>4.0972018628100262</v>
      </c>
      <c r="O85" s="145"/>
    </row>
    <row r="86" spans="1:15" x14ac:dyDescent="0.2">
      <c r="A86" s="19" t="s">
        <v>9</v>
      </c>
      <c r="B86" s="232">
        <v>4276342.84583</v>
      </c>
      <c r="C86" s="142">
        <v>4617282.1409999998</v>
      </c>
      <c r="D86" s="163">
        <f>IF(B86=0, "    ---- ", IF(ABS(ROUND(100/B86*C86-100,1))&lt;999,ROUND(100/B86*C86-100,1),IF(ROUND(100/B86*C86-100,1)&gt;999,999,-999)))</f>
        <v>8</v>
      </c>
      <c r="E86" s="25">
        <f>IFERROR(100/'Skjema total MA'!C86*C86,0)</f>
        <v>1.2384027215981919</v>
      </c>
      <c r="F86" s="232"/>
      <c r="G86" s="142"/>
      <c r="H86" s="163"/>
      <c r="I86" s="25"/>
      <c r="J86" s="282">
        <f t="shared" si="5"/>
        <v>4276342.84583</v>
      </c>
      <c r="K86" s="42">
        <f t="shared" si="5"/>
        <v>4617282.1409999998</v>
      </c>
      <c r="L86" s="253">
        <f>IF(J86=0, "    ---- ", IF(ABS(ROUND(100/J86*K86-100,1))&lt;999,ROUND(100/J86*K86-100,1),IF(ROUND(100/J86*K86-100,1)&gt;999,999,-999)))</f>
        <v>8</v>
      </c>
      <c r="M86" s="25">
        <f>IFERROR(100/'Skjema total MA'!I86*K86,0)</f>
        <v>1.2384027215981919</v>
      </c>
      <c r="O86" s="145"/>
    </row>
    <row r="87" spans="1:15" x14ac:dyDescent="0.2">
      <c r="A87" s="19" t="s">
        <v>10</v>
      </c>
      <c r="B87" s="232"/>
      <c r="C87" s="142"/>
      <c r="D87" s="163"/>
      <c r="E87" s="25"/>
      <c r="F87" s="232">
        <v>14949280.241010001</v>
      </c>
      <c r="G87" s="142">
        <v>19400500.418000001</v>
      </c>
      <c r="H87" s="163">
        <f>IF(F87=0, "    ---- ", IF(ABS(ROUND(100/F87*G87-100,1))&lt;999,ROUND(100/F87*G87-100,1),IF(ROUND(100/F87*G87-100,1)&gt;999,999,-999)))</f>
        <v>29.8</v>
      </c>
      <c r="I87" s="25">
        <f>IFERROR(100/'Skjema total MA'!F87*G87,0)</f>
        <v>9.2421995469045708</v>
      </c>
      <c r="J87" s="282">
        <f t="shared" si="5"/>
        <v>14949280.241010001</v>
      </c>
      <c r="K87" s="42">
        <f t="shared" si="5"/>
        <v>19400500.418000001</v>
      </c>
      <c r="L87" s="253">
        <f>IF(J87=0, "    ---- ", IF(ABS(ROUND(100/J87*K87-100,1))&lt;999,ROUND(100/J87*K87-100,1),IF(ROUND(100/J87*K87-100,1)&gt;999,999,-999)))</f>
        <v>29.8</v>
      </c>
      <c r="M87" s="25">
        <f>IFERROR(100/'Skjema total MA'!I87*K87,0)</f>
        <v>9.1333353365759944</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v>4276342.84583</v>
      </c>
      <c r="C96" s="232">
        <v>4617282.1409999998</v>
      </c>
      <c r="D96" s="163">
        <f>IF(B96=0, "    ---- ", IF(ABS(ROUND(100/B96*C96-100,1))&lt;999,ROUND(100/B96*C96-100,1),IF(ROUND(100/B96*C96-100,1)&gt;999,999,-999)))</f>
        <v>8</v>
      </c>
      <c r="E96" s="25">
        <f>IFERROR(100/'Skjema total MA'!C96*C96,0)</f>
        <v>1.2463713168772943</v>
      </c>
      <c r="F96" s="284">
        <v>14949280.241010001</v>
      </c>
      <c r="G96" s="284">
        <v>19400500.418000001</v>
      </c>
      <c r="H96" s="163">
        <f>IF(F96=0, "    ---- ", IF(ABS(ROUND(100/F96*G96-100,1))&lt;999,ROUND(100/F96*G96-100,1),IF(ROUND(100/F96*G96-100,1)&gt;999,999,-999)))</f>
        <v>29.8</v>
      </c>
      <c r="I96" s="25">
        <f>IFERROR(100/'Skjema total MA'!F96*G96,0)</f>
        <v>9.2664592486881396</v>
      </c>
      <c r="J96" s="282">
        <f t="shared" ref="J96:K98" si="6">SUM(B96,F96)</f>
        <v>19225623.08684</v>
      </c>
      <c r="K96" s="42">
        <f t="shared" si="6"/>
        <v>24017782.559</v>
      </c>
      <c r="L96" s="253">
        <f>IF(J96=0, "    ---- ", IF(ABS(ROUND(100/J96*K96-100,1))&lt;999,ROUND(100/J96*K96-100,1),IF(ROUND(100/J96*K96-100,1)&gt;999,999,-999)))</f>
        <v>24.9</v>
      </c>
      <c r="M96" s="25">
        <f>IFERROR(100/'Skjema total MA'!I96*K96,0)</f>
        <v>4.1422782753055589</v>
      </c>
      <c r="O96" s="145"/>
    </row>
    <row r="97" spans="1:15" x14ac:dyDescent="0.2">
      <c r="A97" s="19" t="s">
        <v>9</v>
      </c>
      <c r="B97" s="284">
        <v>4276342.84583</v>
      </c>
      <c r="C97" s="285">
        <v>4617282.1409999998</v>
      </c>
      <c r="D97" s="163">
        <f>IF(B97=0, "    ---- ", IF(ABS(ROUND(100/B97*C97-100,1))&lt;999,ROUND(100/B97*C97-100,1),IF(ROUND(100/B97*C97-100,1)&gt;999,999,-999)))</f>
        <v>8</v>
      </c>
      <c r="E97" s="25">
        <f>IFERROR(100/'Skjema total MA'!C97*C97,0)</f>
        <v>1.2548464186646284</v>
      </c>
      <c r="F97" s="232"/>
      <c r="G97" s="142"/>
      <c r="H97" s="163"/>
      <c r="I97" s="25"/>
      <c r="J97" s="282">
        <f t="shared" si="6"/>
        <v>4276342.84583</v>
      </c>
      <c r="K97" s="42">
        <f t="shared" si="6"/>
        <v>4617282.1409999998</v>
      </c>
      <c r="L97" s="253">
        <f>IF(J97=0, "    ---- ", IF(ABS(ROUND(100/J97*K97-100,1))&lt;999,ROUND(100/J97*K97-100,1),IF(ROUND(100/J97*K97-100,1)&gt;999,999,-999)))</f>
        <v>8</v>
      </c>
      <c r="M97" s="25">
        <f>IFERROR(100/'Skjema total MA'!I97*K97,0)</f>
        <v>1.2548464186646284</v>
      </c>
      <c r="O97" s="145"/>
    </row>
    <row r="98" spans="1:15" x14ac:dyDescent="0.2">
      <c r="A98" s="19" t="s">
        <v>10</v>
      </c>
      <c r="B98" s="284"/>
      <c r="C98" s="285"/>
      <c r="D98" s="163"/>
      <c r="E98" s="25"/>
      <c r="F98" s="232">
        <v>14949280.241010001</v>
      </c>
      <c r="G98" s="232">
        <v>19400500.418000001</v>
      </c>
      <c r="H98" s="163">
        <f>IF(F98=0, "    ---- ", IF(ABS(ROUND(100/F98*G98-100,1))&lt;999,ROUND(100/F98*G98-100,1),IF(ROUND(100/F98*G98-100,1)&gt;999,999,-999)))</f>
        <v>29.8</v>
      </c>
      <c r="I98" s="25">
        <f>IFERROR(100/'Skjema total MA'!F98*G98,0)</f>
        <v>9.2664592486881396</v>
      </c>
      <c r="J98" s="282">
        <f t="shared" si="6"/>
        <v>14949280.241010001</v>
      </c>
      <c r="K98" s="42">
        <f t="shared" si="6"/>
        <v>19400500.418000001</v>
      </c>
      <c r="L98" s="253">
        <f>IF(J98=0, "    ---- ", IF(ABS(ROUND(100/J98*K98-100,1))&lt;999,ROUND(100/J98*K98-100,1),IF(ROUND(100/J98*K98-100,1)&gt;999,999,-999)))</f>
        <v>29.8</v>
      </c>
      <c r="M98" s="25">
        <f>IFERROR(100/'Skjema total MA'!I98*K98,0)</f>
        <v>9.1570261599526077</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v>3394730.89341</v>
      </c>
      <c r="C106" s="232">
        <v>3915118.58</v>
      </c>
      <c r="D106" s="163">
        <f>IF(B106=0, "    ---- ", IF(ABS(ROUND(100/B106*C106-100,1))&lt;999,ROUND(100/B106*C106-100,1),IF(ROUND(100/B106*C106-100,1)&gt;999,999,-999)))</f>
        <v>15.3</v>
      </c>
      <c r="E106" s="25">
        <f>IFERROR(100/'Skjema total MA'!C106*C106,0)</f>
        <v>1.3150956164906247</v>
      </c>
      <c r="F106" s="232"/>
      <c r="G106" s="232"/>
      <c r="H106" s="163"/>
      <c r="I106" s="25"/>
      <c r="J106" s="282">
        <f t="shared" ref="J106:K109" si="7">SUM(B106,F106)</f>
        <v>3394730.89341</v>
      </c>
      <c r="K106" s="42">
        <f t="shared" si="7"/>
        <v>3915118.58</v>
      </c>
      <c r="L106" s="253">
        <f>IF(J106=0, "    ---- ", IF(ABS(ROUND(100/J106*K106-100,1))&lt;999,ROUND(100/J106*K106-100,1),IF(ROUND(100/J106*K106-100,1)&gt;999,999,-999)))</f>
        <v>15.3</v>
      </c>
      <c r="M106" s="25">
        <f>IFERROR(100/'Skjema total MA'!I106*K106,0)</f>
        <v>1.2855371585191786</v>
      </c>
      <c r="O106" s="145"/>
    </row>
    <row r="107" spans="1:15" ht="15.75" x14ac:dyDescent="0.2">
      <c r="A107" s="19" t="s">
        <v>414</v>
      </c>
      <c r="B107" s="232"/>
      <c r="C107" s="232"/>
      <c r="D107" s="163"/>
      <c r="E107" s="25"/>
      <c r="F107" s="232">
        <v>4941969.9110000003</v>
      </c>
      <c r="G107" s="232">
        <v>6452549.3470000001</v>
      </c>
      <c r="H107" s="163">
        <f>IF(F107=0, "    ---- ", IF(ABS(ROUND(100/F107*G107-100,1))&lt;999,ROUND(100/F107*G107-100,1),IF(ROUND(100/F107*G107-100,1)&gt;999,999,-999)))</f>
        <v>30.6</v>
      </c>
      <c r="I107" s="25">
        <f>IFERROR(100/'Skjema total MA'!F107*G107,0)</f>
        <v>9.6190943645310742</v>
      </c>
      <c r="J107" s="282">
        <f t="shared" si="7"/>
        <v>4941969.9110000003</v>
      </c>
      <c r="K107" s="42">
        <f t="shared" si="7"/>
        <v>6452549.3470000001</v>
      </c>
      <c r="L107" s="253">
        <f>IF(J107=0, "    ---- ", IF(ABS(ROUND(100/J107*K107-100,1))&lt;999,ROUND(100/J107*K107-100,1),IF(ROUND(100/J107*K107-100,1)&gt;999,999,-999)))</f>
        <v>30.6</v>
      </c>
      <c r="M107" s="25">
        <f>IFERROR(100/'Skjema total MA'!I107*K107,0)</f>
        <v>9.5100230577682936</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47381.033649999998</v>
      </c>
      <c r="C109" s="156">
        <v>67875.861000000004</v>
      </c>
      <c r="D109" s="168">
        <f>IF(B109=0, "    ---- ", IF(ABS(ROUND(100/B109*C109-100,1))&lt;999,ROUND(100/B109*C109-100,1),IF(ROUND(100/B109*C109-100,1)&gt;999,999,-999)))</f>
        <v>43.3</v>
      </c>
      <c r="E109" s="11">
        <f>IFERROR(100/'Skjema total MA'!C109*C109,0)</f>
        <v>14.582671095015263</v>
      </c>
      <c r="F109" s="297">
        <v>743406.68524999998</v>
      </c>
      <c r="G109" s="156">
        <v>1610289.064</v>
      </c>
      <c r="H109" s="168">
        <f>IF(F109=0, "    ---- ", IF(ABS(ROUND(100/F109*G109-100,1))&lt;999,ROUND(100/F109*G109-100,1),IF(ROUND(100/F109*G109-100,1)&gt;999,999,-999)))</f>
        <v>116.6</v>
      </c>
      <c r="I109" s="11">
        <f>IFERROR(100/'Skjema total MA'!F109*G109,0)</f>
        <v>19.595529274980745</v>
      </c>
      <c r="J109" s="298">
        <f t="shared" si="7"/>
        <v>790787.71889999998</v>
      </c>
      <c r="K109" s="234">
        <f t="shared" si="7"/>
        <v>1678164.925</v>
      </c>
      <c r="L109" s="411">
        <f>IF(J109=0, "    ---- ", IF(ABS(ROUND(100/J109*K109-100,1))&lt;999,ROUND(100/J109*K109-100,1),IF(ROUND(100/J109*K109-100,1)&gt;999,999,-999)))</f>
        <v>112.2</v>
      </c>
      <c r="M109" s="11">
        <f>IFERROR(100/'Skjema total MA'!I109*K109,0)</f>
        <v>19.326815853950436</v>
      </c>
      <c r="O109" s="145"/>
    </row>
    <row r="110" spans="1:15" x14ac:dyDescent="0.2">
      <c r="A110" s="19" t="s">
        <v>9</v>
      </c>
      <c r="B110" s="232">
        <v>47381.033649999998</v>
      </c>
      <c r="C110" s="142">
        <v>67875.861000000004</v>
      </c>
      <c r="D110" s="163">
        <f t="shared" ref="D110:D122" si="8">IF(B110=0, "    ---- ", IF(ABS(ROUND(100/B110*C110-100,1))&lt;999,ROUND(100/B110*C110-100,1),IF(ROUND(100/B110*C110-100,1)&gt;999,999,-999)))</f>
        <v>43.3</v>
      </c>
      <c r="E110" s="25">
        <f>IFERROR(100/'Skjema total MA'!C110*C110,0)</f>
        <v>15.412049356047927</v>
      </c>
      <c r="F110" s="232">
        <v>0</v>
      </c>
      <c r="G110" s="142">
        <v>0</v>
      </c>
      <c r="H110" s="163" t="str">
        <f t="shared" ref="H110:H123" si="9">IF(F110=0, "    ---- ", IF(ABS(ROUND(100/F110*G110-100,1))&lt;999,ROUND(100/F110*G110-100,1),IF(ROUND(100/F110*G110-100,1)&gt;999,999,-999)))</f>
        <v xml:space="preserve">    ---- </v>
      </c>
      <c r="I110" s="25">
        <f>IFERROR(100/'Skjema total MA'!F110*G110,0)</f>
        <v>0</v>
      </c>
      <c r="J110" s="282">
        <f t="shared" ref="J110:K123" si="10">SUM(B110,F110)</f>
        <v>47381.033649999998</v>
      </c>
      <c r="K110" s="42">
        <f t="shared" si="10"/>
        <v>67875.861000000004</v>
      </c>
      <c r="L110" s="253">
        <f t="shared" ref="L110:L123" si="11">IF(J110=0, "    ---- ", IF(ABS(ROUND(100/J110*K110-100,1))&lt;999,ROUND(100/J110*K110-100,1),IF(ROUND(100/J110*K110-100,1)&gt;999,999,-999)))</f>
        <v>43.3</v>
      </c>
      <c r="M110" s="25">
        <f>IFERROR(100/'Skjema total MA'!I110*K110,0)</f>
        <v>15.412049356047927</v>
      </c>
      <c r="O110" s="145"/>
    </row>
    <row r="111" spans="1:15" x14ac:dyDescent="0.2">
      <c r="A111" s="19" t="s">
        <v>10</v>
      </c>
      <c r="B111" s="232"/>
      <c r="C111" s="142"/>
      <c r="D111" s="163"/>
      <c r="E111" s="25"/>
      <c r="F111" s="232">
        <v>743406.68524999998</v>
      </c>
      <c r="G111" s="142">
        <v>1610289.064</v>
      </c>
      <c r="H111" s="163">
        <f t="shared" si="9"/>
        <v>116.6</v>
      </c>
      <c r="I111" s="25">
        <f>IFERROR(100/'Skjema total MA'!F111*G111,0)</f>
        <v>19.595529274980745</v>
      </c>
      <c r="J111" s="282">
        <f t="shared" si="10"/>
        <v>743406.68524999998</v>
      </c>
      <c r="K111" s="42">
        <f t="shared" si="10"/>
        <v>1610289.064</v>
      </c>
      <c r="L111" s="253">
        <f t="shared" si="11"/>
        <v>116.6</v>
      </c>
      <c r="M111" s="25">
        <f>IFERROR(100/'Skjema total MA'!I111*K111,0)</f>
        <v>19.589112568740934</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8644.16</v>
      </c>
      <c r="C114" s="232">
        <v>17179.537</v>
      </c>
      <c r="D114" s="163">
        <f t="shared" si="8"/>
        <v>98.7</v>
      </c>
      <c r="E114" s="25">
        <f>IFERROR(100/'Skjema total MA'!C114*C114,0)</f>
        <v>11.883401829998439</v>
      </c>
      <c r="F114" s="232"/>
      <c r="G114" s="232"/>
      <c r="H114" s="163"/>
      <c r="I114" s="25"/>
      <c r="J114" s="282">
        <f t="shared" si="10"/>
        <v>8644.16</v>
      </c>
      <c r="K114" s="42">
        <f t="shared" si="10"/>
        <v>17179.537</v>
      </c>
      <c r="L114" s="253">
        <f t="shared" si="11"/>
        <v>98.7</v>
      </c>
      <c r="M114" s="25">
        <f>IFERROR(100/'Skjema total MA'!I114*K114,0)</f>
        <v>10.718229678567756</v>
      </c>
      <c r="O114" s="145"/>
    </row>
    <row r="115" spans="1:15" ht="15.75" x14ac:dyDescent="0.2">
      <c r="A115" s="19" t="s">
        <v>414</v>
      </c>
      <c r="B115" s="232">
        <v>0</v>
      </c>
      <c r="C115" s="232">
        <v>0</v>
      </c>
      <c r="D115" s="163" t="str">
        <f t="shared" si="8"/>
        <v xml:space="preserve">    ---- </v>
      </c>
      <c r="E115" s="25">
        <f>IFERROR(100/'Skjema total MA'!C115*C115,0)</f>
        <v>0</v>
      </c>
      <c r="F115" s="232">
        <v>63576.349040000001</v>
      </c>
      <c r="G115" s="232">
        <v>150261.96599999999</v>
      </c>
      <c r="H115" s="163">
        <f t="shared" si="9"/>
        <v>136.30000000000001</v>
      </c>
      <c r="I115" s="25">
        <f>IFERROR(100/'Skjema total MA'!F115*G115,0)</f>
        <v>10.509319384078957</v>
      </c>
      <c r="J115" s="282">
        <f t="shared" si="10"/>
        <v>63576.349040000001</v>
      </c>
      <c r="K115" s="42">
        <f t="shared" si="10"/>
        <v>150261.96599999999</v>
      </c>
      <c r="L115" s="253">
        <f t="shared" si="11"/>
        <v>136.30000000000001</v>
      </c>
      <c r="M115" s="25">
        <f>IFERROR(100/'Skjema total MA'!I115*K115,0)</f>
        <v>10.509319384078957</v>
      </c>
      <c r="O115" s="145"/>
    </row>
    <row r="116" spans="1:15" ht="15.75" x14ac:dyDescent="0.2">
      <c r="A116" s="19" t="s">
        <v>415</v>
      </c>
      <c r="B116" s="232">
        <v>0</v>
      </c>
      <c r="C116" s="232">
        <v>0</v>
      </c>
      <c r="D116" s="163" t="str">
        <f t="shared" si="8"/>
        <v xml:space="preserve">    ---- </v>
      </c>
      <c r="E116" s="25">
        <f>IFERROR(100/'Skjema total MA'!C116*C116,0)</f>
        <v>0</v>
      </c>
      <c r="F116" s="232"/>
      <c r="G116" s="232"/>
      <c r="H116" s="163"/>
      <c r="I116" s="25"/>
      <c r="J116" s="282"/>
      <c r="K116" s="42"/>
      <c r="L116" s="253"/>
      <c r="M116" s="25"/>
      <c r="O116" s="145"/>
    </row>
    <row r="117" spans="1:15" ht="15.75" x14ac:dyDescent="0.2">
      <c r="A117" s="13" t="s">
        <v>400</v>
      </c>
      <c r="B117" s="297">
        <v>33953.435440000001</v>
      </c>
      <c r="C117" s="156">
        <v>37828.28</v>
      </c>
      <c r="D117" s="168">
        <f t="shared" si="8"/>
        <v>11.4</v>
      </c>
      <c r="E117" s="11">
        <f>IFERROR(100/'Skjema total MA'!C117*C117,0)</f>
        <v>10.030164833518707</v>
      </c>
      <c r="F117" s="297">
        <v>428430.24660999997</v>
      </c>
      <c r="G117" s="156">
        <v>865575.62100000004</v>
      </c>
      <c r="H117" s="168">
        <f t="shared" si="9"/>
        <v>102</v>
      </c>
      <c r="I117" s="11">
        <f>IFERROR(100/'Skjema total MA'!F117*G117,0)</f>
        <v>10.56508818787742</v>
      </c>
      <c r="J117" s="298">
        <f t="shared" si="10"/>
        <v>462383.68204999994</v>
      </c>
      <c r="K117" s="234">
        <f t="shared" si="10"/>
        <v>903403.90100000007</v>
      </c>
      <c r="L117" s="411">
        <f t="shared" si="11"/>
        <v>95.4</v>
      </c>
      <c r="M117" s="11">
        <f>IFERROR(100/'Skjema total MA'!I117*K117,0)</f>
        <v>10.541547319175285</v>
      </c>
      <c r="O117" s="145"/>
    </row>
    <row r="118" spans="1:15" x14ac:dyDescent="0.2">
      <c r="A118" s="19" t="s">
        <v>9</v>
      </c>
      <c r="B118" s="232">
        <v>33953.435440000001</v>
      </c>
      <c r="C118" s="142">
        <v>37828.28</v>
      </c>
      <c r="D118" s="163">
        <f t="shared" si="8"/>
        <v>11.4</v>
      </c>
      <c r="E118" s="25">
        <f>IFERROR(100/'Skjema total MA'!C118*C118,0)</f>
        <v>10.906604652961242</v>
      </c>
      <c r="F118" s="232"/>
      <c r="G118" s="142"/>
      <c r="H118" s="163"/>
      <c r="I118" s="25"/>
      <c r="J118" s="282">
        <f t="shared" si="10"/>
        <v>33953.435440000001</v>
      </c>
      <c r="K118" s="42">
        <f t="shared" si="10"/>
        <v>37828.28</v>
      </c>
      <c r="L118" s="253">
        <f t="shared" si="11"/>
        <v>11.4</v>
      </c>
      <c r="M118" s="25">
        <f>IFERROR(100/'Skjema total MA'!I118*K118,0)</f>
        <v>10.906604652961242</v>
      </c>
      <c r="O118" s="145"/>
    </row>
    <row r="119" spans="1:15" x14ac:dyDescent="0.2">
      <c r="A119" s="19" t="s">
        <v>10</v>
      </c>
      <c r="B119" s="232"/>
      <c r="C119" s="142"/>
      <c r="D119" s="163"/>
      <c r="E119" s="25"/>
      <c r="F119" s="232">
        <v>428430.24660999997</v>
      </c>
      <c r="G119" s="142">
        <v>865575.62100000004</v>
      </c>
      <c r="H119" s="163">
        <f t="shared" si="9"/>
        <v>102</v>
      </c>
      <c r="I119" s="25">
        <f>IFERROR(100/'Skjema total MA'!F119*G119,0)</f>
        <v>10.56508818787742</v>
      </c>
      <c r="J119" s="282">
        <f t="shared" si="10"/>
        <v>428430.24660999997</v>
      </c>
      <c r="K119" s="42">
        <f t="shared" si="10"/>
        <v>865575.62100000004</v>
      </c>
      <c r="L119" s="253">
        <f t="shared" si="11"/>
        <v>102</v>
      </c>
      <c r="M119" s="25">
        <f>IFERROR(100/'Skjema total MA'!I119*K119,0)</f>
        <v>10.535246406090382</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v>7.0910000000000002</v>
      </c>
      <c r="C122" s="232">
        <v>0</v>
      </c>
      <c r="D122" s="163">
        <f t="shared" si="8"/>
        <v>-100</v>
      </c>
      <c r="E122" s="25">
        <f>IFERROR(100/'Skjema total MA'!C122*C122,0)</f>
        <v>0</v>
      </c>
      <c r="F122" s="232"/>
      <c r="G122" s="232"/>
      <c r="H122" s="163"/>
      <c r="I122" s="25"/>
      <c r="J122" s="282">
        <f t="shared" si="10"/>
        <v>7.0910000000000002</v>
      </c>
      <c r="K122" s="42">
        <f t="shared" si="10"/>
        <v>0</v>
      </c>
      <c r="L122" s="253">
        <f t="shared" si="11"/>
        <v>-100</v>
      </c>
      <c r="M122" s="25">
        <f>IFERROR(100/'Skjema total MA'!I122*K122,0)</f>
        <v>0</v>
      </c>
      <c r="O122" s="145"/>
    </row>
    <row r="123" spans="1:15" ht="15.75" x14ac:dyDescent="0.2">
      <c r="A123" s="19" t="s">
        <v>414</v>
      </c>
      <c r="B123" s="232"/>
      <c r="C123" s="232"/>
      <c r="D123" s="163"/>
      <c r="E123" s="25"/>
      <c r="F123" s="232">
        <v>73127.119200000001</v>
      </c>
      <c r="G123" s="232">
        <v>164183.34299999999</v>
      </c>
      <c r="H123" s="163">
        <f t="shared" si="9"/>
        <v>124.5</v>
      </c>
      <c r="I123" s="25">
        <f>IFERROR(100/'Skjema total MA'!F123*G123,0)</f>
        <v>11.06637468688872</v>
      </c>
      <c r="J123" s="282">
        <f t="shared" si="10"/>
        <v>73127.119200000001</v>
      </c>
      <c r="K123" s="42">
        <f t="shared" si="10"/>
        <v>164183.34299999999</v>
      </c>
      <c r="L123" s="253">
        <f t="shared" si="11"/>
        <v>124.5</v>
      </c>
      <c r="M123" s="25">
        <f>IFERROR(100/'Skjema total MA'!I123*K123,0)</f>
        <v>11.038029995082134</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328" priority="142">
      <formula>kvartal &lt; 4</formula>
    </cfRule>
  </conditionalFormatting>
  <conditionalFormatting sqref="B29">
    <cfRule type="expression" dxfId="1327" priority="140">
      <formula>kvartal &lt; 4</formula>
    </cfRule>
  </conditionalFormatting>
  <conditionalFormatting sqref="B30">
    <cfRule type="expression" dxfId="1326" priority="139">
      <formula>kvartal &lt; 4</formula>
    </cfRule>
  </conditionalFormatting>
  <conditionalFormatting sqref="B31">
    <cfRule type="expression" dxfId="1325" priority="138">
      <formula>kvartal &lt; 4</formula>
    </cfRule>
  </conditionalFormatting>
  <conditionalFormatting sqref="C29">
    <cfRule type="expression" dxfId="1324" priority="137">
      <formula>kvartal &lt; 4</formula>
    </cfRule>
  </conditionalFormatting>
  <conditionalFormatting sqref="C30">
    <cfRule type="expression" dxfId="1323" priority="136">
      <formula>kvartal &lt; 4</formula>
    </cfRule>
  </conditionalFormatting>
  <conditionalFormatting sqref="C31">
    <cfRule type="expression" dxfId="1322" priority="135">
      <formula>kvartal &lt; 4</formula>
    </cfRule>
  </conditionalFormatting>
  <conditionalFormatting sqref="B23:C25">
    <cfRule type="expression" dxfId="1321" priority="134">
      <formula>kvartal &lt; 4</formula>
    </cfRule>
  </conditionalFormatting>
  <conditionalFormatting sqref="F23:G25">
    <cfRule type="expression" dxfId="1320" priority="130">
      <formula>kvartal &lt; 4</formula>
    </cfRule>
  </conditionalFormatting>
  <conditionalFormatting sqref="F29">
    <cfRule type="expression" dxfId="1319" priority="123">
      <formula>kvartal &lt; 4</formula>
    </cfRule>
  </conditionalFormatting>
  <conditionalFormatting sqref="F30">
    <cfRule type="expression" dxfId="1318" priority="122">
      <formula>kvartal &lt; 4</formula>
    </cfRule>
  </conditionalFormatting>
  <conditionalFormatting sqref="F31">
    <cfRule type="expression" dxfId="1317" priority="121">
      <formula>kvartal &lt; 4</formula>
    </cfRule>
  </conditionalFormatting>
  <conditionalFormatting sqref="G29">
    <cfRule type="expression" dxfId="1316" priority="120">
      <formula>kvartal &lt; 4</formula>
    </cfRule>
  </conditionalFormatting>
  <conditionalFormatting sqref="G30">
    <cfRule type="expression" dxfId="1315" priority="119">
      <formula>kvartal &lt; 4</formula>
    </cfRule>
  </conditionalFormatting>
  <conditionalFormatting sqref="G31">
    <cfRule type="expression" dxfId="1314" priority="118">
      <formula>kvartal &lt; 4</formula>
    </cfRule>
  </conditionalFormatting>
  <conditionalFormatting sqref="B26">
    <cfRule type="expression" dxfId="1313" priority="117">
      <formula>kvartal &lt; 4</formula>
    </cfRule>
  </conditionalFormatting>
  <conditionalFormatting sqref="C26">
    <cfRule type="expression" dxfId="1312" priority="116">
      <formula>kvartal &lt; 4</formula>
    </cfRule>
  </conditionalFormatting>
  <conditionalFormatting sqref="F26">
    <cfRule type="expression" dxfId="1311" priority="115">
      <formula>kvartal &lt; 4</formula>
    </cfRule>
  </conditionalFormatting>
  <conditionalFormatting sqref="G26">
    <cfRule type="expression" dxfId="1310" priority="114">
      <formula>kvartal &lt; 4</formula>
    </cfRule>
  </conditionalFormatting>
  <conditionalFormatting sqref="J23:K26">
    <cfRule type="expression" dxfId="1309" priority="113">
      <formula>kvartal &lt; 4</formula>
    </cfRule>
  </conditionalFormatting>
  <conditionalFormatting sqref="J29:K31">
    <cfRule type="expression" dxfId="1308" priority="111">
      <formula>kvartal &lt; 4</formula>
    </cfRule>
  </conditionalFormatting>
  <conditionalFormatting sqref="B67">
    <cfRule type="expression" dxfId="1307" priority="110">
      <formula>kvartal &lt; 4</formula>
    </cfRule>
  </conditionalFormatting>
  <conditionalFormatting sqref="C67">
    <cfRule type="expression" dxfId="1306" priority="109">
      <formula>kvartal &lt; 4</formula>
    </cfRule>
  </conditionalFormatting>
  <conditionalFormatting sqref="B70">
    <cfRule type="expression" dxfId="1305" priority="108">
      <formula>kvartal &lt; 4</formula>
    </cfRule>
  </conditionalFormatting>
  <conditionalFormatting sqref="C70">
    <cfRule type="expression" dxfId="1304" priority="107">
      <formula>kvartal &lt; 4</formula>
    </cfRule>
  </conditionalFormatting>
  <conditionalFormatting sqref="B78">
    <cfRule type="expression" dxfId="1303" priority="106">
      <formula>kvartal &lt; 4</formula>
    </cfRule>
  </conditionalFormatting>
  <conditionalFormatting sqref="C78">
    <cfRule type="expression" dxfId="1302" priority="105">
      <formula>kvartal &lt; 4</formula>
    </cfRule>
  </conditionalFormatting>
  <conditionalFormatting sqref="B81">
    <cfRule type="expression" dxfId="1301" priority="104">
      <formula>kvartal &lt; 4</formula>
    </cfRule>
  </conditionalFormatting>
  <conditionalFormatting sqref="C81">
    <cfRule type="expression" dxfId="1300" priority="103">
      <formula>kvartal &lt; 4</formula>
    </cfRule>
  </conditionalFormatting>
  <conditionalFormatting sqref="B88">
    <cfRule type="expression" dxfId="1299" priority="94">
      <formula>kvartal &lt; 4</formula>
    </cfRule>
  </conditionalFormatting>
  <conditionalFormatting sqref="C88">
    <cfRule type="expression" dxfId="1298" priority="93">
      <formula>kvartal &lt; 4</formula>
    </cfRule>
  </conditionalFormatting>
  <conditionalFormatting sqref="B91">
    <cfRule type="expression" dxfId="1297" priority="92">
      <formula>kvartal &lt; 4</formula>
    </cfRule>
  </conditionalFormatting>
  <conditionalFormatting sqref="C91">
    <cfRule type="expression" dxfId="1296" priority="91">
      <formula>kvartal &lt; 4</formula>
    </cfRule>
  </conditionalFormatting>
  <conditionalFormatting sqref="B99">
    <cfRule type="expression" dxfId="1295" priority="90">
      <formula>kvartal &lt; 4</formula>
    </cfRule>
  </conditionalFormatting>
  <conditionalFormatting sqref="C99">
    <cfRule type="expression" dxfId="1294" priority="89">
      <formula>kvartal &lt; 4</formula>
    </cfRule>
  </conditionalFormatting>
  <conditionalFormatting sqref="B102">
    <cfRule type="expression" dxfId="1293" priority="88">
      <formula>kvartal &lt; 4</formula>
    </cfRule>
  </conditionalFormatting>
  <conditionalFormatting sqref="C102">
    <cfRule type="expression" dxfId="1292" priority="87">
      <formula>kvartal &lt; 4</formula>
    </cfRule>
  </conditionalFormatting>
  <conditionalFormatting sqref="B113">
    <cfRule type="expression" dxfId="1291" priority="86">
      <formula>kvartal &lt; 4</formula>
    </cfRule>
  </conditionalFormatting>
  <conditionalFormatting sqref="C113">
    <cfRule type="expression" dxfId="1290" priority="85">
      <formula>kvartal &lt; 4</formula>
    </cfRule>
  </conditionalFormatting>
  <conditionalFormatting sqref="B121">
    <cfRule type="expression" dxfId="1289" priority="84">
      <formula>kvartal &lt; 4</formula>
    </cfRule>
  </conditionalFormatting>
  <conditionalFormatting sqref="C121">
    <cfRule type="expression" dxfId="1288" priority="83">
      <formula>kvartal &lt; 4</formula>
    </cfRule>
  </conditionalFormatting>
  <conditionalFormatting sqref="F68">
    <cfRule type="expression" dxfId="1287" priority="82">
      <formula>kvartal &lt; 4</formula>
    </cfRule>
  </conditionalFormatting>
  <conditionalFormatting sqref="G68">
    <cfRule type="expression" dxfId="1286" priority="81">
      <formula>kvartal &lt; 4</formula>
    </cfRule>
  </conditionalFormatting>
  <conditionalFormatting sqref="F69:G69">
    <cfRule type="expression" dxfId="1285" priority="80">
      <formula>kvartal &lt; 4</formula>
    </cfRule>
  </conditionalFormatting>
  <conditionalFormatting sqref="F71:G72">
    <cfRule type="expression" dxfId="1284" priority="79">
      <formula>kvartal &lt; 4</formula>
    </cfRule>
  </conditionalFormatting>
  <conditionalFormatting sqref="F79:G80">
    <cfRule type="expression" dxfId="1283" priority="78">
      <formula>kvartal &lt; 4</formula>
    </cfRule>
  </conditionalFormatting>
  <conditionalFormatting sqref="F82:G83">
    <cfRule type="expression" dxfId="1282" priority="77">
      <formula>kvartal &lt; 4</formula>
    </cfRule>
  </conditionalFormatting>
  <conditionalFormatting sqref="F89:G90">
    <cfRule type="expression" dxfId="1281" priority="72">
      <formula>kvartal &lt; 4</formula>
    </cfRule>
  </conditionalFormatting>
  <conditionalFormatting sqref="F92:G93">
    <cfRule type="expression" dxfId="1280" priority="71">
      <formula>kvartal &lt; 4</formula>
    </cfRule>
  </conditionalFormatting>
  <conditionalFormatting sqref="F100:G101">
    <cfRule type="expression" dxfId="1279" priority="70">
      <formula>kvartal &lt; 4</formula>
    </cfRule>
  </conditionalFormatting>
  <conditionalFormatting sqref="F103:G104">
    <cfRule type="expression" dxfId="1278" priority="69">
      <formula>kvartal &lt; 4</formula>
    </cfRule>
  </conditionalFormatting>
  <conditionalFormatting sqref="F113">
    <cfRule type="expression" dxfId="1277" priority="68">
      <formula>kvartal &lt; 4</formula>
    </cfRule>
  </conditionalFormatting>
  <conditionalFormatting sqref="G113">
    <cfRule type="expression" dxfId="1276" priority="67">
      <formula>kvartal &lt; 4</formula>
    </cfRule>
  </conditionalFormatting>
  <conditionalFormatting sqref="F121:G121">
    <cfRule type="expression" dxfId="1275" priority="66">
      <formula>kvartal &lt; 4</formula>
    </cfRule>
  </conditionalFormatting>
  <conditionalFormatting sqref="F67:G67">
    <cfRule type="expression" dxfId="1274" priority="65">
      <formula>kvartal &lt; 4</formula>
    </cfRule>
  </conditionalFormatting>
  <conditionalFormatting sqref="F70:G70">
    <cfRule type="expression" dxfId="1273" priority="64">
      <formula>kvartal &lt; 4</formula>
    </cfRule>
  </conditionalFormatting>
  <conditionalFormatting sqref="F78:G78">
    <cfRule type="expression" dxfId="1272" priority="63">
      <formula>kvartal &lt; 4</formula>
    </cfRule>
  </conditionalFormatting>
  <conditionalFormatting sqref="F81:G81">
    <cfRule type="expression" dxfId="1271" priority="62">
      <formula>kvartal &lt; 4</formula>
    </cfRule>
  </conditionalFormatting>
  <conditionalFormatting sqref="F88:G88">
    <cfRule type="expression" dxfId="1270" priority="56">
      <formula>kvartal &lt; 4</formula>
    </cfRule>
  </conditionalFormatting>
  <conditionalFormatting sqref="F91">
    <cfRule type="expression" dxfId="1269" priority="55">
      <formula>kvartal &lt; 4</formula>
    </cfRule>
  </conditionalFormatting>
  <conditionalFormatting sqref="G91">
    <cfRule type="expression" dxfId="1268" priority="54">
      <formula>kvartal &lt; 4</formula>
    </cfRule>
  </conditionalFormatting>
  <conditionalFormatting sqref="F99">
    <cfRule type="expression" dxfId="1267" priority="53">
      <formula>kvartal &lt; 4</formula>
    </cfRule>
  </conditionalFormatting>
  <conditionalFormatting sqref="G99">
    <cfRule type="expression" dxfId="1266" priority="52">
      <formula>kvartal &lt; 4</formula>
    </cfRule>
  </conditionalFormatting>
  <conditionalFormatting sqref="G102">
    <cfRule type="expression" dxfId="1265" priority="51">
      <formula>kvartal &lt; 4</formula>
    </cfRule>
  </conditionalFormatting>
  <conditionalFormatting sqref="F102">
    <cfRule type="expression" dxfId="1264" priority="50">
      <formula>kvartal &lt; 4</formula>
    </cfRule>
  </conditionalFormatting>
  <conditionalFormatting sqref="J67:K71">
    <cfRule type="expression" dxfId="1263" priority="49">
      <formula>kvartal &lt; 4</formula>
    </cfRule>
  </conditionalFormatting>
  <conditionalFormatting sqref="J72:K72">
    <cfRule type="expression" dxfId="1262" priority="48">
      <formula>kvartal &lt; 4</formula>
    </cfRule>
  </conditionalFormatting>
  <conditionalFormatting sqref="J78:K83">
    <cfRule type="expression" dxfId="1261" priority="47">
      <formula>kvartal &lt; 4</formula>
    </cfRule>
  </conditionalFormatting>
  <conditionalFormatting sqref="J88:K93">
    <cfRule type="expression" dxfId="1260" priority="44">
      <formula>kvartal &lt; 4</formula>
    </cfRule>
  </conditionalFormatting>
  <conditionalFormatting sqref="J99:K104">
    <cfRule type="expression" dxfId="1259" priority="43">
      <formula>kvartal &lt; 4</formula>
    </cfRule>
  </conditionalFormatting>
  <conditionalFormatting sqref="J113:K113">
    <cfRule type="expression" dxfId="1258" priority="42">
      <formula>kvartal &lt; 4</formula>
    </cfRule>
  </conditionalFormatting>
  <conditionalFormatting sqref="J121:K121">
    <cfRule type="expression" dxfId="1257" priority="41">
      <formula>kvartal &lt; 4</formula>
    </cfRule>
  </conditionalFormatting>
  <conditionalFormatting sqref="A23:A25">
    <cfRule type="expression" dxfId="1256" priority="10">
      <formula>kvartal &lt; 4</formula>
    </cfRule>
  </conditionalFormatting>
  <conditionalFormatting sqref="A48:A50">
    <cfRule type="expression" dxfId="1255" priority="9">
      <formula>kvartal &lt; 4</formula>
    </cfRule>
  </conditionalFormatting>
  <conditionalFormatting sqref="A67:A72">
    <cfRule type="expression" dxfId="1254" priority="8">
      <formula>kvartal &lt; 4</formula>
    </cfRule>
  </conditionalFormatting>
  <conditionalFormatting sqref="A113">
    <cfRule type="expression" dxfId="1253" priority="7">
      <formula>kvartal &lt; 4</formula>
    </cfRule>
  </conditionalFormatting>
  <conditionalFormatting sqref="A121">
    <cfRule type="expression" dxfId="1252" priority="6">
      <formula>kvartal &lt; 4</formula>
    </cfRule>
  </conditionalFormatting>
  <conditionalFormatting sqref="A26">
    <cfRule type="expression" dxfId="1251" priority="5">
      <formula>kvartal &lt; 4</formula>
    </cfRule>
  </conditionalFormatting>
  <conditionalFormatting sqref="A29:A31">
    <cfRule type="expression" dxfId="1250" priority="4">
      <formula>kvartal &lt; 4</formula>
    </cfRule>
  </conditionalFormatting>
  <conditionalFormatting sqref="A78:A83">
    <cfRule type="expression" dxfId="1249" priority="3">
      <formula>kvartal &lt; 4</formula>
    </cfRule>
  </conditionalFormatting>
  <conditionalFormatting sqref="A88:A93">
    <cfRule type="expression" dxfId="1248" priority="2">
      <formula>kvartal &lt; 4</formula>
    </cfRule>
  </conditionalFormatting>
  <conditionalFormatting sqref="A99:A104">
    <cfRule type="expression" dxfId="1247" priority="1">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98</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29539</v>
      </c>
      <c r="C7" s="296">
        <v>28590</v>
      </c>
      <c r="D7" s="336">
        <f t="shared" ref="D7:D10" si="0">IF(B7=0, "    ---- ", IF(ABS(ROUND(100/B7*C7-100,1))&lt;999,ROUND(100/B7*C7-100,1),IF(ROUND(100/B7*C7-100,1)&gt;999,999,-999)))</f>
        <v>-3.2</v>
      </c>
      <c r="E7" s="11">
        <f>IFERROR(100/'Skjema total MA'!C7*C7,0)</f>
        <v>0.78129117504921075</v>
      </c>
      <c r="F7" s="295"/>
      <c r="G7" s="296"/>
      <c r="H7" s="336"/>
      <c r="I7" s="157"/>
      <c r="J7" s="297">
        <f t="shared" ref="J7:K10" si="1">SUM(B7,F7)</f>
        <v>29539</v>
      </c>
      <c r="K7" s="298">
        <f t="shared" si="1"/>
        <v>28590</v>
      </c>
      <c r="L7" s="410">
        <f>IF(J7=0, "    ---- ", IF(ABS(ROUND(100/J7*K7-100,1))&lt;999,ROUND(100/J7*K7-100,1),IF(ROUND(100/J7*K7-100,1)&gt;999,999,-999)))</f>
        <v>-3.2</v>
      </c>
      <c r="M7" s="11">
        <f>IFERROR(100/'Skjema total MA'!I7*K7,0)</f>
        <v>0.28637405215636175</v>
      </c>
      <c r="O7" s="145"/>
    </row>
    <row r="8" spans="1:15" ht="15.75" x14ac:dyDescent="0.2">
      <c r="A8" s="19" t="s">
        <v>26</v>
      </c>
      <c r="B8" s="278">
        <v>17941.2516627078</v>
      </c>
      <c r="C8" s="279">
        <v>10708</v>
      </c>
      <c r="D8" s="163">
        <f t="shared" si="0"/>
        <v>-40.299999999999997</v>
      </c>
      <c r="E8" s="25">
        <f>IFERROR(100/'Skjema total MA'!C8*C8,0)</f>
        <v>0.54298397054503889</v>
      </c>
      <c r="F8" s="653"/>
      <c r="G8" s="654"/>
      <c r="H8" s="163"/>
      <c r="I8" s="173"/>
      <c r="J8" s="232">
        <f t="shared" si="1"/>
        <v>17941.2516627078</v>
      </c>
      <c r="K8" s="282">
        <f t="shared" si="1"/>
        <v>10708</v>
      </c>
      <c r="L8" s="253"/>
      <c r="M8" s="25">
        <f>IFERROR(100/'Skjema total MA'!I8*K8,0)</f>
        <v>0.54298397054503889</v>
      </c>
      <c r="O8" s="145"/>
    </row>
    <row r="9" spans="1:15" ht="15.75" x14ac:dyDescent="0.2">
      <c r="A9" s="19" t="s">
        <v>25</v>
      </c>
      <c r="B9" s="278">
        <v>10999</v>
      </c>
      <c r="C9" s="279">
        <v>17470</v>
      </c>
      <c r="D9" s="163">
        <f t="shared" si="0"/>
        <v>58.8</v>
      </c>
      <c r="E9" s="25">
        <f>IFERROR(100/'Skjema total MA'!C9*C9,0)</f>
        <v>1.9454736556977348</v>
      </c>
      <c r="F9" s="653"/>
      <c r="G9" s="654"/>
      <c r="H9" s="163"/>
      <c r="I9" s="173"/>
      <c r="J9" s="232">
        <f t="shared" si="1"/>
        <v>10999</v>
      </c>
      <c r="K9" s="282">
        <f t="shared" si="1"/>
        <v>17470</v>
      </c>
      <c r="L9" s="253"/>
      <c r="M9" s="25">
        <f>IFERROR(100/'Skjema total MA'!I9*K9,0)</f>
        <v>1.9454736556977348</v>
      </c>
      <c r="O9" s="145"/>
    </row>
    <row r="10" spans="1:15" ht="15.75" x14ac:dyDescent="0.2">
      <c r="A10" s="13" t="s">
        <v>398</v>
      </c>
      <c r="B10" s="299">
        <v>21454</v>
      </c>
      <c r="C10" s="300">
        <v>22431</v>
      </c>
      <c r="D10" s="168">
        <f t="shared" si="0"/>
        <v>4.5999999999999996</v>
      </c>
      <c r="E10" s="11">
        <f>IFERROR(100/'Skjema total MA'!C10*C10,0)</f>
        <v>9.9764531666959463E-2</v>
      </c>
      <c r="F10" s="299"/>
      <c r="G10" s="300"/>
      <c r="H10" s="168"/>
      <c r="I10" s="157"/>
      <c r="J10" s="297">
        <f t="shared" si="1"/>
        <v>21454</v>
      </c>
      <c r="K10" s="298">
        <f t="shared" si="1"/>
        <v>22431</v>
      </c>
      <c r="L10" s="411">
        <f>IF(J10=0, "    ---- ", IF(ABS(ROUND(100/J10*K10-100,1))&lt;999,ROUND(100/J10*K10-100,1),IF(ROUND(100/J10*K10-100,1)&gt;999,999,-999)))</f>
        <v>4.5999999999999996</v>
      </c>
      <c r="M10" s="11">
        <f>IFERROR(100/'Skjema total MA'!I10*K10,0)</f>
        <v>3.6439062151716495E-2</v>
      </c>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197</v>
      </c>
      <c r="C22" s="306">
        <v>182</v>
      </c>
      <c r="D22" s="336">
        <f t="shared" ref="D22:D28" si="2">IF(B22=0, "    ---- ", IF(ABS(ROUND(100/B22*C22-100,1))&lt;999,ROUND(100/B22*C22-100,1),IF(ROUND(100/B22*C22-100,1)&gt;999,999,-999)))</f>
        <v>-7.6</v>
      </c>
      <c r="E22" s="11">
        <f>IFERROR(100/'Skjema total MA'!C22*C22,0)</f>
        <v>1.4254098916313587E-2</v>
      </c>
      <c r="F22" s="307"/>
      <c r="G22" s="306"/>
      <c r="H22" s="336"/>
      <c r="I22" s="11"/>
      <c r="J22" s="305">
        <f>SUM(B22,F22)</f>
        <v>197</v>
      </c>
      <c r="K22" s="305">
        <f>SUM(C22,G22)</f>
        <v>182</v>
      </c>
      <c r="L22" s="410">
        <f>IF(J22=0, "    ---- ", IF(ABS(ROUND(100/J22*K22-100,1))&lt;999,ROUND(100/J22*K22-100,1),IF(ROUND(100/J22*K22-100,1)&gt;999,999,-999)))</f>
        <v>-7.6</v>
      </c>
      <c r="M22" s="22">
        <f>IFERROR(100/'Skjema total MA'!I22*K22,0)</f>
        <v>1.1707466031787666E-2</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197</v>
      </c>
      <c r="C27" s="282">
        <v>182</v>
      </c>
      <c r="D27" s="163">
        <f t="shared" si="2"/>
        <v>-7.6</v>
      </c>
      <c r="E27" s="25">
        <f>IFERROR(100/'Skjema total MA'!C27*C27,0)</f>
        <v>1.4156290100365379E-2</v>
      </c>
      <c r="F27" s="232"/>
      <c r="G27" s="282"/>
      <c r="H27" s="163"/>
      <c r="I27" s="25"/>
      <c r="J27" s="42">
        <f>SUM(B27,F27)</f>
        <v>197</v>
      </c>
      <c r="K27" s="42">
        <f>SUM(C27,G27)</f>
        <v>182</v>
      </c>
      <c r="L27" s="253">
        <f>IF(J27=0, "    ---- ", IF(ABS(ROUND(100/J27*K27-100,1))&lt;999,ROUND(100/J27*K27-100,1),IF(ROUND(100/J27*K27-100,1)&gt;999,999,-999)))</f>
        <v>-7.6</v>
      </c>
      <c r="M27" s="21">
        <f>IFERROR(100/'Skjema total MA'!I27*K27,0)</f>
        <v>1.4156290100365379E-2</v>
      </c>
      <c r="O27" s="145"/>
    </row>
    <row r="28" spans="1:15" s="3" customFormat="1" ht="15.75" x14ac:dyDescent="0.2">
      <c r="A28" s="13" t="s">
        <v>398</v>
      </c>
      <c r="B28" s="234">
        <v>2350</v>
      </c>
      <c r="C28" s="298">
        <v>2320</v>
      </c>
      <c r="D28" s="168">
        <f t="shared" si="2"/>
        <v>-1.3</v>
      </c>
      <c r="E28" s="11">
        <f>IFERROR(100/'Skjema total MA'!C28*C28,0)</f>
        <v>4.539468441218014E-3</v>
      </c>
      <c r="F28" s="297"/>
      <c r="G28" s="298"/>
      <c r="H28" s="168"/>
      <c r="I28" s="11"/>
      <c r="J28" s="234">
        <f>SUM(B28,F28)</f>
        <v>2350</v>
      </c>
      <c r="K28" s="234">
        <f>SUM(C28,G28)</f>
        <v>2320</v>
      </c>
      <c r="L28" s="411">
        <f>IF(J28=0, "    ---- ", IF(ABS(ROUND(100/J28*K28-100,1))&lt;999,ROUND(100/J28*K28-100,1),IF(ROUND(100/J28*K28-100,1)&gt;999,999,-999)))</f>
        <v>-1.3</v>
      </c>
      <c r="M28" s="22">
        <f>IFERROR(100/'Skjema total MA'!I28*K28,0)</f>
        <v>3.2840201498617952E-3</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246" priority="142">
      <formula>kvartal &lt; 4</formula>
    </cfRule>
  </conditionalFormatting>
  <conditionalFormatting sqref="B29">
    <cfRule type="expression" dxfId="1245" priority="140">
      <formula>kvartal &lt; 4</formula>
    </cfRule>
  </conditionalFormatting>
  <conditionalFormatting sqref="B30">
    <cfRule type="expression" dxfId="1244" priority="139">
      <formula>kvartal &lt; 4</formula>
    </cfRule>
  </conditionalFormatting>
  <conditionalFormatting sqref="B31">
    <cfRule type="expression" dxfId="1243" priority="138">
      <formula>kvartal &lt; 4</formula>
    </cfRule>
  </conditionalFormatting>
  <conditionalFormatting sqref="C29">
    <cfRule type="expression" dxfId="1242" priority="137">
      <formula>kvartal &lt; 4</formula>
    </cfRule>
  </conditionalFormatting>
  <conditionalFormatting sqref="C30">
    <cfRule type="expression" dxfId="1241" priority="136">
      <formula>kvartal &lt; 4</formula>
    </cfRule>
  </conditionalFormatting>
  <conditionalFormatting sqref="C31">
    <cfRule type="expression" dxfId="1240" priority="135">
      <formula>kvartal &lt; 4</formula>
    </cfRule>
  </conditionalFormatting>
  <conditionalFormatting sqref="B23:C25">
    <cfRule type="expression" dxfId="1239" priority="134">
      <formula>kvartal &lt; 4</formula>
    </cfRule>
  </conditionalFormatting>
  <conditionalFormatting sqref="F23:G25">
    <cfRule type="expression" dxfId="1238" priority="130">
      <formula>kvartal &lt; 4</formula>
    </cfRule>
  </conditionalFormatting>
  <conditionalFormatting sqref="F29">
    <cfRule type="expression" dxfId="1237" priority="123">
      <formula>kvartal &lt; 4</formula>
    </cfRule>
  </conditionalFormatting>
  <conditionalFormatting sqref="F30">
    <cfRule type="expression" dxfId="1236" priority="122">
      <formula>kvartal &lt; 4</formula>
    </cfRule>
  </conditionalFormatting>
  <conditionalFormatting sqref="F31">
    <cfRule type="expression" dxfId="1235" priority="121">
      <formula>kvartal &lt; 4</formula>
    </cfRule>
  </conditionalFormatting>
  <conditionalFormatting sqref="G29">
    <cfRule type="expression" dxfId="1234" priority="120">
      <formula>kvartal &lt; 4</formula>
    </cfRule>
  </conditionalFormatting>
  <conditionalFormatting sqref="G30">
    <cfRule type="expression" dxfId="1233" priority="119">
      <formula>kvartal &lt; 4</formula>
    </cfRule>
  </conditionalFormatting>
  <conditionalFormatting sqref="G31">
    <cfRule type="expression" dxfId="1232" priority="118">
      <formula>kvartal &lt; 4</formula>
    </cfRule>
  </conditionalFormatting>
  <conditionalFormatting sqref="B26">
    <cfRule type="expression" dxfId="1231" priority="117">
      <formula>kvartal &lt; 4</formula>
    </cfRule>
  </conditionalFormatting>
  <conditionalFormatting sqref="C26">
    <cfRule type="expression" dxfId="1230" priority="116">
      <formula>kvartal &lt; 4</formula>
    </cfRule>
  </conditionalFormatting>
  <conditionalFormatting sqref="F26">
    <cfRule type="expression" dxfId="1229" priority="115">
      <formula>kvartal &lt; 4</formula>
    </cfRule>
  </conditionalFormatting>
  <conditionalFormatting sqref="G26">
    <cfRule type="expression" dxfId="1228" priority="114">
      <formula>kvartal &lt; 4</formula>
    </cfRule>
  </conditionalFormatting>
  <conditionalFormatting sqref="J23:K26">
    <cfRule type="expression" dxfId="1227" priority="113">
      <formula>kvartal &lt; 4</formula>
    </cfRule>
  </conditionalFormatting>
  <conditionalFormatting sqref="J29:K31">
    <cfRule type="expression" dxfId="1226" priority="111">
      <formula>kvartal &lt; 4</formula>
    </cfRule>
  </conditionalFormatting>
  <conditionalFormatting sqref="B67">
    <cfRule type="expression" dxfId="1225" priority="110">
      <formula>kvartal &lt; 4</formula>
    </cfRule>
  </conditionalFormatting>
  <conditionalFormatting sqref="C67">
    <cfRule type="expression" dxfId="1224" priority="109">
      <formula>kvartal &lt; 4</formula>
    </cfRule>
  </conditionalFormatting>
  <conditionalFormatting sqref="B70">
    <cfRule type="expression" dxfId="1223" priority="108">
      <formula>kvartal &lt; 4</formula>
    </cfRule>
  </conditionalFormatting>
  <conditionalFormatting sqref="C70">
    <cfRule type="expression" dxfId="1222" priority="107">
      <formula>kvartal &lt; 4</formula>
    </cfRule>
  </conditionalFormatting>
  <conditionalFormatting sqref="B78">
    <cfRule type="expression" dxfId="1221" priority="106">
      <formula>kvartal &lt; 4</formula>
    </cfRule>
  </conditionalFormatting>
  <conditionalFormatting sqref="C78">
    <cfRule type="expression" dxfId="1220" priority="105">
      <formula>kvartal &lt; 4</formula>
    </cfRule>
  </conditionalFormatting>
  <conditionalFormatting sqref="B81">
    <cfRule type="expression" dxfId="1219" priority="104">
      <formula>kvartal &lt; 4</formula>
    </cfRule>
  </conditionalFormatting>
  <conditionalFormatting sqref="C81">
    <cfRule type="expression" dxfId="1218" priority="103">
      <formula>kvartal &lt; 4</formula>
    </cfRule>
  </conditionalFormatting>
  <conditionalFormatting sqref="B88">
    <cfRule type="expression" dxfId="1217" priority="94">
      <formula>kvartal &lt; 4</formula>
    </cfRule>
  </conditionalFormatting>
  <conditionalFormatting sqref="C88">
    <cfRule type="expression" dxfId="1216" priority="93">
      <formula>kvartal &lt; 4</formula>
    </cfRule>
  </conditionalFormatting>
  <conditionalFormatting sqref="B91">
    <cfRule type="expression" dxfId="1215" priority="92">
      <formula>kvartal &lt; 4</formula>
    </cfRule>
  </conditionalFormatting>
  <conditionalFormatting sqref="C91">
    <cfRule type="expression" dxfId="1214" priority="91">
      <formula>kvartal &lt; 4</formula>
    </cfRule>
  </conditionalFormatting>
  <conditionalFormatting sqref="B99">
    <cfRule type="expression" dxfId="1213" priority="90">
      <formula>kvartal &lt; 4</formula>
    </cfRule>
  </conditionalFormatting>
  <conditionalFormatting sqref="C99">
    <cfRule type="expression" dxfId="1212" priority="89">
      <formula>kvartal &lt; 4</formula>
    </cfRule>
  </conditionalFormatting>
  <conditionalFormatting sqref="B102">
    <cfRule type="expression" dxfId="1211" priority="88">
      <formula>kvartal &lt; 4</formula>
    </cfRule>
  </conditionalFormatting>
  <conditionalFormatting sqref="C102">
    <cfRule type="expression" dxfId="1210" priority="87">
      <formula>kvartal &lt; 4</formula>
    </cfRule>
  </conditionalFormatting>
  <conditionalFormatting sqref="B113">
    <cfRule type="expression" dxfId="1209" priority="86">
      <formula>kvartal &lt; 4</formula>
    </cfRule>
  </conditionalFormatting>
  <conditionalFormatting sqref="C113">
    <cfRule type="expression" dxfId="1208" priority="85">
      <formula>kvartal &lt; 4</formula>
    </cfRule>
  </conditionalFormatting>
  <conditionalFormatting sqref="B121">
    <cfRule type="expression" dxfId="1207" priority="84">
      <formula>kvartal &lt; 4</formula>
    </cfRule>
  </conditionalFormatting>
  <conditionalFormatting sqref="C121">
    <cfRule type="expression" dxfId="1206" priority="83">
      <formula>kvartal &lt; 4</formula>
    </cfRule>
  </conditionalFormatting>
  <conditionalFormatting sqref="F68">
    <cfRule type="expression" dxfId="1205" priority="82">
      <formula>kvartal &lt; 4</formula>
    </cfRule>
  </conditionalFormatting>
  <conditionalFormatting sqref="G68">
    <cfRule type="expression" dxfId="1204" priority="81">
      <formula>kvartal &lt; 4</formula>
    </cfRule>
  </conditionalFormatting>
  <conditionalFormatting sqref="F69:G69">
    <cfRule type="expression" dxfId="1203" priority="80">
      <formula>kvartal &lt; 4</formula>
    </cfRule>
  </conditionalFormatting>
  <conditionalFormatting sqref="F71:G72">
    <cfRule type="expression" dxfId="1202" priority="79">
      <formula>kvartal &lt; 4</formula>
    </cfRule>
  </conditionalFormatting>
  <conditionalFormatting sqref="F79:G80">
    <cfRule type="expression" dxfId="1201" priority="78">
      <formula>kvartal &lt; 4</formula>
    </cfRule>
  </conditionalFormatting>
  <conditionalFormatting sqref="F82:G83">
    <cfRule type="expression" dxfId="1200" priority="77">
      <formula>kvartal &lt; 4</formula>
    </cfRule>
  </conditionalFormatting>
  <conditionalFormatting sqref="F89:G90">
    <cfRule type="expression" dxfId="1199" priority="72">
      <formula>kvartal &lt; 4</formula>
    </cfRule>
  </conditionalFormatting>
  <conditionalFormatting sqref="F92:G93">
    <cfRule type="expression" dxfId="1198" priority="71">
      <formula>kvartal &lt; 4</formula>
    </cfRule>
  </conditionalFormatting>
  <conditionalFormatting sqref="F100:G101">
    <cfRule type="expression" dxfId="1197" priority="70">
      <formula>kvartal &lt; 4</formula>
    </cfRule>
  </conditionalFormatting>
  <conditionalFormatting sqref="F103:G104">
    <cfRule type="expression" dxfId="1196" priority="69">
      <formula>kvartal &lt; 4</formula>
    </cfRule>
  </conditionalFormatting>
  <conditionalFormatting sqref="F113">
    <cfRule type="expression" dxfId="1195" priority="68">
      <formula>kvartal &lt; 4</formula>
    </cfRule>
  </conditionalFormatting>
  <conditionalFormatting sqref="G113">
    <cfRule type="expression" dxfId="1194" priority="67">
      <formula>kvartal &lt; 4</formula>
    </cfRule>
  </conditionalFormatting>
  <conditionalFormatting sqref="F121:G121">
    <cfRule type="expression" dxfId="1193" priority="66">
      <formula>kvartal &lt; 4</formula>
    </cfRule>
  </conditionalFormatting>
  <conditionalFormatting sqref="F67:G67">
    <cfRule type="expression" dxfId="1192" priority="65">
      <formula>kvartal &lt; 4</formula>
    </cfRule>
  </conditionalFormatting>
  <conditionalFormatting sqref="F70:G70">
    <cfRule type="expression" dxfId="1191" priority="64">
      <formula>kvartal &lt; 4</formula>
    </cfRule>
  </conditionalFormatting>
  <conditionalFormatting sqref="F78:G78">
    <cfRule type="expression" dxfId="1190" priority="63">
      <formula>kvartal &lt; 4</formula>
    </cfRule>
  </conditionalFormatting>
  <conditionalFormatting sqref="F81:G81">
    <cfRule type="expression" dxfId="1189" priority="62">
      <formula>kvartal &lt; 4</formula>
    </cfRule>
  </conditionalFormatting>
  <conditionalFormatting sqref="F88:G88">
    <cfRule type="expression" dxfId="1188" priority="56">
      <formula>kvartal &lt; 4</formula>
    </cfRule>
  </conditionalFormatting>
  <conditionalFormatting sqref="F91">
    <cfRule type="expression" dxfId="1187" priority="55">
      <formula>kvartal &lt; 4</formula>
    </cfRule>
  </conditionalFormatting>
  <conditionalFormatting sqref="G91">
    <cfRule type="expression" dxfId="1186" priority="54">
      <formula>kvartal &lt; 4</formula>
    </cfRule>
  </conditionalFormatting>
  <conditionalFormatting sqref="F99">
    <cfRule type="expression" dxfId="1185" priority="53">
      <formula>kvartal &lt; 4</formula>
    </cfRule>
  </conditionalFormatting>
  <conditionalFormatting sqref="G99">
    <cfRule type="expression" dxfId="1184" priority="52">
      <formula>kvartal &lt; 4</formula>
    </cfRule>
  </conditionalFormatting>
  <conditionalFormatting sqref="G102">
    <cfRule type="expression" dxfId="1183" priority="51">
      <formula>kvartal &lt; 4</formula>
    </cfRule>
  </conditionalFormatting>
  <conditionalFormatting sqref="F102">
    <cfRule type="expression" dxfId="1182" priority="50">
      <formula>kvartal &lt; 4</formula>
    </cfRule>
  </conditionalFormatting>
  <conditionalFormatting sqref="J67:K71">
    <cfRule type="expression" dxfId="1181" priority="49">
      <formula>kvartal &lt; 4</formula>
    </cfRule>
  </conditionalFormatting>
  <conditionalFormatting sqref="J72:K72">
    <cfRule type="expression" dxfId="1180" priority="48">
      <formula>kvartal &lt; 4</formula>
    </cfRule>
  </conditionalFormatting>
  <conditionalFormatting sqref="J78:K83">
    <cfRule type="expression" dxfId="1179" priority="47">
      <formula>kvartal &lt; 4</formula>
    </cfRule>
  </conditionalFormatting>
  <conditionalFormatting sqref="J88:K93">
    <cfRule type="expression" dxfId="1178" priority="44">
      <formula>kvartal &lt; 4</formula>
    </cfRule>
  </conditionalFormatting>
  <conditionalFormatting sqref="J99:K104">
    <cfRule type="expression" dxfId="1177" priority="43">
      <formula>kvartal &lt; 4</formula>
    </cfRule>
  </conditionalFormatting>
  <conditionalFormatting sqref="J113:K113">
    <cfRule type="expression" dxfId="1176" priority="42">
      <formula>kvartal &lt; 4</formula>
    </cfRule>
  </conditionalFormatting>
  <conditionalFormatting sqref="J121:K121">
    <cfRule type="expression" dxfId="1175" priority="41">
      <formula>kvartal &lt; 4</formula>
    </cfRule>
  </conditionalFormatting>
  <conditionalFormatting sqref="A23:A25">
    <cfRule type="expression" dxfId="1174" priority="10">
      <formula>kvartal &lt; 4</formula>
    </cfRule>
  </conditionalFormatting>
  <conditionalFormatting sqref="A48:A50">
    <cfRule type="expression" dxfId="1173" priority="9">
      <formula>kvartal &lt; 4</formula>
    </cfRule>
  </conditionalFormatting>
  <conditionalFormatting sqref="A67:A72">
    <cfRule type="expression" dxfId="1172" priority="8">
      <formula>kvartal &lt; 4</formula>
    </cfRule>
  </conditionalFormatting>
  <conditionalFormatting sqref="A113">
    <cfRule type="expression" dxfId="1171" priority="7">
      <formula>kvartal &lt; 4</formula>
    </cfRule>
  </conditionalFormatting>
  <conditionalFormatting sqref="A121">
    <cfRule type="expression" dxfId="1170" priority="6">
      <formula>kvartal &lt; 4</formula>
    </cfRule>
  </conditionalFormatting>
  <conditionalFormatting sqref="A26">
    <cfRule type="expression" dxfId="1169" priority="5">
      <formula>kvartal &lt; 4</formula>
    </cfRule>
  </conditionalFormatting>
  <conditionalFormatting sqref="A29:A31">
    <cfRule type="expression" dxfId="1168" priority="4">
      <formula>kvartal &lt; 4</formula>
    </cfRule>
  </conditionalFormatting>
  <conditionalFormatting sqref="A78:A83">
    <cfRule type="expression" dxfId="1167" priority="3">
      <formula>kvartal &lt; 4</formula>
    </cfRule>
  </conditionalFormatting>
  <conditionalFormatting sqref="A88:A93">
    <cfRule type="expression" dxfId="1166" priority="2">
      <formula>kvartal &lt; 4</formula>
    </cfRule>
  </conditionalFormatting>
  <conditionalFormatting sqref="A99:A104">
    <cfRule type="expression" dxfId="1165" priority="1">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142</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236824.91699999999</v>
      </c>
      <c r="C7" s="296">
        <v>233987.46599999999</v>
      </c>
      <c r="D7" s="336">
        <f t="shared" ref="D7:D9" si="0">IF(B7=0, "    ---- ", IF(ABS(ROUND(100/B7*C7-100,1))&lt;999,ROUND(100/B7*C7-100,1),IF(ROUND(100/B7*C7-100,1)&gt;999,999,-999)))</f>
        <v>-1.2</v>
      </c>
      <c r="E7" s="11">
        <f>IFERROR(100/'Skjema total MA'!C7*C7,0)</f>
        <v>6.3942756998225683</v>
      </c>
      <c r="F7" s="295"/>
      <c r="G7" s="296"/>
      <c r="H7" s="336"/>
      <c r="I7" s="157"/>
      <c r="J7" s="297">
        <f t="shared" ref="J7:K9" si="1">SUM(B7,F7)</f>
        <v>236824.91699999999</v>
      </c>
      <c r="K7" s="298">
        <f t="shared" si="1"/>
        <v>233987.46599999999</v>
      </c>
      <c r="L7" s="410">
        <f>IF(J7=0, "    ---- ", IF(ABS(ROUND(100/J7*K7-100,1))&lt;999,ROUND(100/J7*K7-100,1),IF(ROUND(100/J7*K7-100,1)&gt;999,999,-999)))</f>
        <v>-1.2</v>
      </c>
      <c r="M7" s="11">
        <f>IFERROR(100/'Skjema total MA'!I7*K7,0)</f>
        <v>2.3437544173563807</v>
      </c>
      <c r="O7" s="145"/>
    </row>
    <row r="8" spans="1:15" ht="15.75" x14ac:dyDescent="0.2">
      <c r="A8" s="19" t="s">
        <v>26</v>
      </c>
      <c r="B8" s="278">
        <v>141474.00599999999</v>
      </c>
      <c r="C8" s="279">
        <v>146394.90599999999</v>
      </c>
      <c r="D8" s="163">
        <f t="shared" si="0"/>
        <v>3.5</v>
      </c>
      <c r="E8" s="25">
        <f>IFERROR(100/'Skjema total MA'!C8*C8,0)</f>
        <v>7.4234298961008331</v>
      </c>
      <c r="F8" s="653"/>
      <c r="G8" s="654"/>
      <c r="H8" s="163"/>
      <c r="I8" s="173"/>
      <c r="J8" s="232">
        <f t="shared" si="1"/>
        <v>141474.00599999999</v>
      </c>
      <c r="K8" s="282">
        <f t="shared" si="1"/>
        <v>146394.90599999999</v>
      </c>
      <c r="L8" s="253"/>
      <c r="M8" s="25">
        <f>IFERROR(100/'Skjema total MA'!I8*K8,0)</f>
        <v>7.4234298961008331</v>
      </c>
      <c r="O8" s="145"/>
    </row>
    <row r="9" spans="1:15" ht="15.75" x14ac:dyDescent="0.2">
      <c r="A9" s="19" t="s">
        <v>25</v>
      </c>
      <c r="B9" s="278">
        <v>95350.910999999993</v>
      </c>
      <c r="C9" s="279">
        <v>87592.56</v>
      </c>
      <c r="D9" s="163">
        <f t="shared" si="0"/>
        <v>-8.1</v>
      </c>
      <c r="E9" s="25">
        <f>IFERROR(100/'Skjema total MA'!C9*C9,0)</f>
        <v>9.7543799607969763</v>
      </c>
      <c r="F9" s="653"/>
      <c r="G9" s="654"/>
      <c r="H9" s="163"/>
      <c r="I9" s="173"/>
      <c r="J9" s="232">
        <f t="shared" si="1"/>
        <v>95350.910999999993</v>
      </c>
      <c r="K9" s="282">
        <f t="shared" si="1"/>
        <v>87592.56</v>
      </c>
      <c r="L9" s="253"/>
      <c r="M9" s="25">
        <f>IFERROR(100/'Skjema total MA'!I9*K9,0)</f>
        <v>9.7543799607969763</v>
      </c>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79178.620999999999</v>
      </c>
      <c r="C27" s="282">
        <v>85097.08</v>
      </c>
      <c r="D27" s="163">
        <f t="shared" ref="D27" si="2">IF(B27=0, "    ---- ", IF(ABS(ROUND(100/B27*C27-100,1))&lt;999,ROUND(100/B27*C27-100,1),IF(ROUND(100/B27*C27-100,1)&gt;999,999,-999)))</f>
        <v>7.5</v>
      </c>
      <c r="E27" s="25">
        <f>IFERROR(100/'Skjema total MA'!C27*C27,0)</f>
        <v>6.6190052262307733</v>
      </c>
      <c r="F27" s="232"/>
      <c r="G27" s="282"/>
      <c r="H27" s="163"/>
      <c r="I27" s="25"/>
      <c r="J27" s="42">
        <f>SUM(B27,F27)</f>
        <v>79178.620999999999</v>
      </c>
      <c r="K27" s="42">
        <f>SUM(C27,G27)</f>
        <v>85097.08</v>
      </c>
      <c r="L27" s="253">
        <f>IF(J27=0, "    ---- ", IF(ABS(ROUND(100/J27*K27-100,1))&lt;999,ROUND(100/J27*K27-100,1),IF(ROUND(100/J27*K27-100,1)&gt;999,999,-999)))</f>
        <v>7.5</v>
      </c>
      <c r="M27" s="21">
        <f>IFERROR(100/'Skjema total MA'!I27*K27,0)</f>
        <v>6.6190052262307733</v>
      </c>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98035.949299999993</v>
      </c>
      <c r="C45" s="300">
        <v>115391</v>
      </c>
      <c r="D45" s="410">
        <f t="shared" ref="D45:D55" si="3">IF(B45=0, "    ---- ", IF(ABS(ROUND(100/B45*C45-100,1))&lt;999,ROUND(100/B45*C45-100,1),IF(ROUND(100/B45*C45-100,1)&gt;999,999,-999)))</f>
        <v>17.7</v>
      </c>
      <c r="E45" s="11">
        <f>IFERROR(100/'Skjema total MA'!C45*C45,0)</f>
        <v>3.4565923381568866</v>
      </c>
      <c r="F45" s="142"/>
      <c r="G45" s="31"/>
      <c r="H45" s="156"/>
      <c r="I45" s="156"/>
      <c r="J45" s="35"/>
      <c r="K45" s="35"/>
      <c r="L45" s="156"/>
      <c r="M45" s="156"/>
      <c r="N45" s="145"/>
      <c r="O45" s="145"/>
    </row>
    <row r="46" spans="1:15" s="3" customFormat="1" ht="15.75" x14ac:dyDescent="0.2">
      <c r="A46" s="36" t="s">
        <v>407</v>
      </c>
      <c r="B46" s="278">
        <v>98035.949299999993</v>
      </c>
      <c r="C46" s="279">
        <v>115391</v>
      </c>
      <c r="D46" s="253">
        <f t="shared" si="3"/>
        <v>17.7</v>
      </c>
      <c r="E46" s="25">
        <f>IFERROR(100/'Skjema total MA'!C46*C46,0)</f>
        <v>6.3398632707204223</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15204.02</v>
      </c>
      <c r="C51" s="300">
        <v>6265</v>
      </c>
      <c r="D51" s="411">
        <f t="shared" si="3"/>
        <v>-58.8</v>
      </c>
      <c r="E51" s="11">
        <f>IFERROR(100/'Skjema total MA'!C51*C51,0)</f>
        <v>4.1265209638330491</v>
      </c>
      <c r="F51" s="142"/>
      <c r="G51" s="31"/>
      <c r="H51" s="142"/>
      <c r="I51" s="142"/>
      <c r="J51" s="31"/>
      <c r="K51" s="31"/>
      <c r="L51" s="156"/>
      <c r="M51" s="156"/>
      <c r="N51" s="145"/>
      <c r="O51" s="145"/>
    </row>
    <row r="52" spans="1:15" s="3" customFormat="1" ht="15.75" x14ac:dyDescent="0.2">
      <c r="A52" s="36" t="s">
        <v>407</v>
      </c>
      <c r="B52" s="278">
        <v>15204.02</v>
      </c>
      <c r="C52" s="279">
        <v>6265</v>
      </c>
      <c r="D52" s="253">
        <f t="shared" si="3"/>
        <v>-58.8</v>
      </c>
      <c r="E52" s="25">
        <f>IFERROR(100/'Skjema total MA'!C52*C52,0)</f>
        <v>6.631460614501095</v>
      </c>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v>9296.241</v>
      </c>
      <c r="C54" s="300">
        <v>990</v>
      </c>
      <c r="D54" s="411">
        <f t="shared" si="3"/>
        <v>-89.4</v>
      </c>
      <c r="E54" s="11">
        <f>IFERROR(100/'Skjema total MA'!C54*C54,0)</f>
        <v>0.88231562756102699</v>
      </c>
      <c r="F54" s="142"/>
      <c r="G54" s="31"/>
      <c r="H54" s="142"/>
      <c r="I54" s="142"/>
      <c r="J54" s="31"/>
      <c r="K54" s="31"/>
      <c r="L54" s="156"/>
      <c r="M54" s="156"/>
      <c r="N54" s="145"/>
      <c r="O54" s="145"/>
    </row>
    <row r="55" spans="1:15" s="3" customFormat="1" ht="15.75" x14ac:dyDescent="0.2">
      <c r="A55" s="36" t="s">
        <v>407</v>
      </c>
      <c r="B55" s="278">
        <v>9296.241</v>
      </c>
      <c r="C55" s="279">
        <v>990</v>
      </c>
      <c r="D55" s="253">
        <f t="shared" si="3"/>
        <v>-89.4</v>
      </c>
      <c r="E55" s="25">
        <f>IFERROR(100/'Skjema total MA'!C55*C55,0)</f>
        <v>0.88231562756102699</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164" priority="142">
      <formula>kvartal &lt; 4</formula>
    </cfRule>
  </conditionalFormatting>
  <conditionalFormatting sqref="B29">
    <cfRule type="expression" dxfId="1163" priority="140">
      <formula>kvartal &lt; 4</formula>
    </cfRule>
  </conditionalFormatting>
  <conditionalFormatting sqref="B30">
    <cfRule type="expression" dxfId="1162" priority="139">
      <formula>kvartal &lt; 4</formula>
    </cfRule>
  </conditionalFormatting>
  <conditionalFormatting sqref="B31">
    <cfRule type="expression" dxfId="1161" priority="138">
      <formula>kvartal &lt; 4</formula>
    </cfRule>
  </conditionalFormatting>
  <conditionalFormatting sqref="C29">
    <cfRule type="expression" dxfId="1160" priority="137">
      <formula>kvartal &lt; 4</formula>
    </cfRule>
  </conditionalFormatting>
  <conditionalFormatting sqref="C30">
    <cfRule type="expression" dxfId="1159" priority="136">
      <formula>kvartal &lt; 4</formula>
    </cfRule>
  </conditionalFormatting>
  <conditionalFormatting sqref="C31">
    <cfRule type="expression" dxfId="1158" priority="135">
      <formula>kvartal &lt; 4</formula>
    </cfRule>
  </conditionalFormatting>
  <conditionalFormatting sqref="B23:C25">
    <cfRule type="expression" dxfId="1157" priority="134">
      <formula>kvartal &lt; 4</formula>
    </cfRule>
  </conditionalFormatting>
  <conditionalFormatting sqref="F23:G25">
    <cfRule type="expression" dxfId="1156" priority="130">
      <formula>kvartal &lt; 4</formula>
    </cfRule>
  </conditionalFormatting>
  <conditionalFormatting sqref="F29">
    <cfRule type="expression" dxfId="1155" priority="123">
      <formula>kvartal &lt; 4</formula>
    </cfRule>
  </conditionalFormatting>
  <conditionalFormatting sqref="F30">
    <cfRule type="expression" dxfId="1154" priority="122">
      <formula>kvartal &lt; 4</formula>
    </cfRule>
  </conditionalFormatting>
  <conditionalFormatting sqref="F31">
    <cfRule type="expression" dxfId="1153" priority="121">
      <formula>kvartal &lt; 4</formula>
    </cfRule>
  </conditionalFormatting>
  <conditionalFormatting sqref="G29">
    <cfRule type="expression" dxfId="1152" priority="120">
      <formula>kvartal &lt; 4</formula>
    </cfRule>
  </conditionalFormatting>
  <conditionalFormatting sqref="G30">
    <cfRule type="expression" dxfId="1151" priority="119">
      <formula>kvartal &lt; 4</formula>
    </cfRule>
  </conditionalFormatting>
  <conditionalFormatting sqref="G31">
    <cfRule type="expression" dxfId="1150" priority="118">
      <formula>kvartal &lt; 4</formula>
    </cfRule>
  </conditionalFormatting>
  <conditionalFormatting sqref="B26">
    <cfRule type="expression" dxfId="1149" priority="117">
      <formula>kvartal &lt; 4</formula>
    </cfRule>
  </conditionalFormatting>
  <conditionalFormatting sqref="C26">
    <cfRule type="expression" dxfId="1148" priority="116">
      <formula>kvartal &lt; 4</formula>
    </cfRule>
  </conditionalFormatting>
  <conditionalFormatting sqref="F26">
    <cfRule type="expression" dxfId="1147" priority="115">
      <formula>kvartal &lt; 4</formula>
    </cfRule>
  </conditionalFormatting>
  <conditionalFormatting sqref="G26">
    <cfRule type="expression" dxfId="1146" priority="114">
      <formula>kvartal &lt; 4</formula>
    </cfRule>
  </conditionalFormatting>
  <conditionalFormatting sqref="J23:K26">
    <cfRule type="expression" dxfId="1145" priority="113">
      <formula>kvartal &lt; 4</formula>
    </cfRule>
  </conditionalFormatting>
  <conditionalFormatting sqref="J29:K31">
    <cfRule type="expression" dxfId="1144" priority="111">
      <formula>kvartal &lt; 4</formula>
    </cfRule>
  </conditionalFormatting>
  <conditionalFormatting sqref="B67">
    <cfRule type="expression" dxfId="1143" priority="110">
      <formula>kvartal &lt; 4</formula>
    </cfRule>
  </conditionalFormatting>
  <conditionalFormatting sqref="C67">
    <cfRule type="expression" dxfId="1142" priority="109">
      <formula>kvartal &lt; 4</formula>
    </cfRule>
  </conditionalFormatting>
  <conditionalFormatting sqref="B70">
    <cfRule type="expression" dxfId="1141" priority="108">
      <formula>kvartal &lt; 4</formula>
    </cfRule>
  </conditionalFormatting>
  <conditionalFormatting sqref="C70">
    <cfRule type="expression" dxfId="1140" priority="107">
      <formula>kvartal &lt; 4</formula>
    </cfRule>
  </conditionalFormatting>
  <conditionalFormatting sqref="B78">
    <cfRule type="expression" dxfId="1139" priority="106">
      <formula>kvartal &lt; 4</formula>
    </cfRule>
  </conditionalFormatting>
  <conditionalFormatting sqref="C78">
    <cfRule type="expression" dxfId="1138" priority="105">
      <formula>kvartal &lt; 4</formula>
    </cfRule>
  </conditionalFormatting>
  <conditionalFormatting sqref="B81">
    <cfRule type="expression" dxfId="1137" priority="104">
      <formula>kvartal &lt; 4</formula>
    </cfRule>
  </conditionalFormatting>
  <conditionalFormatting sqref="C81">
    <cfRule type="expression" dxfId="1136" priority="103">
      <formula>kvartal &lt; 4</formula>
    </cfRule>
  </conditionalFormatting>
  <conditionalFormatting sqref="B88">
    <cfRule type="expression" dxfId="1135" priority="94">
      <formula>kvartal &lt; 4</formula>
    </cfRule>
  </conditionalFormatting>
  <conditionalFormatting sqref="C88">
    <cfRule type="expression" dxfId="1134" priority="93">
      <formula>kvartal &lt; 4</formula>
    </cfRule>
  </conditionalFormatting>
  <conditionalFormatting sqref="B91">
    <cfRule type="expression" dxfId="1133" priority="92">
      <formula>kvartal &lt; 4</formula>
    </cfRule>
  </conditionalFormatting>
  <conditionalFormatting sqref="C91">
    <cfRule type="expression" dxfId="1132" priority="91">
      <formula>kvartal &lt; 4</formula>
    </cfRule>
  </conditionalFormatting>
  <conditionalFormatting sqref="B99">
    <cfRule type="expression" dxfId="1131" priority="90">
      <formula>kvartal &lt; 4</formula>
    </cfRule>
  </conditionalFormatting>
  <conditionalFormatting sqref="C99">
    <cfRule type="expression" dxfId="1130" priority="89">
      <formula>kvartal &lt; 4</formula>
    </cfRule>
  </conditionalFormatting>
  <conditionalFormatting sqref="B102">
    <cfRule type="expression" dxfId="1129" priority="88">
      <formula>kvartal &lt; 4</formula>
    </cfRule>
  </conditionalFormatting>
  <conditionalFormatting sqref="C102">
    <cfRule type="expression" dxfId="1128" priority="87">
      <formula>kvartal &lt; 4</formula>
    </cfRule>
  </conditionalFormatting>
  <conditionalFormatting sqref="B113">
    <cfRule type="expression" dxfId="1127" priority="86">
      <formula>kvartal &lt; 4</formula>
    </cfRule>
  </conditionalFormatting>
  <conditionalFormatting sqref="C113">
    <cfRule type="expression" dxfId="1126" priority="85">
      <formula>kvartal &lt; 4</formula>
    </cfRule>
  </conditionalFormatting>
  <conditionalFormatting sqref="B121">
    <cfRule type="expression" dxfId="1125" priority="84">
      <formula>kvartal &lt; 4</formula>
    </cfRule>
  </conditionalFormatting>
  <conditionalFormatting sqref="C121">
    <cfRule type="expression" dxfId="1124" priority="83">
      <formula>kvartal &lt; 4</formula>
    </cfRule>
  </conditionalFormatting>
  <conditionalFormatting sqref="F68">
    <cfRule type="expression" dxfId="1123" priority="82">
      <formula>kvartal &lt; 4</formula>
    </cfRule>
  </conditionalFormatting>
  <conditionalFormatting sqref="G68">
    <cfRule type="expression" dxfId="1122" priority="81">
      <formula>kvartal &lt; 4</formula>
    </cfRule>
  </conditionalFormatting>
  <conditionalFormatting sqref="F69:G69">
    <cfRule type="expression" dxfId="1121" priority="80">
      <formula>kvartal &lt; 4</formula>
    </cfRule>
  </conditionalFormatting>
  <conditionalFormatting sqref="F71:G72">
    <cfRule type="expression" dxfId="1120" priority="79">
      <formula>kvartal &lt; 4</formula>
    </cfRule>
  </conditionalFormatting>
  <conditionalFormatting sqref="F79:G80">
    <cfRule type="expression" dxfId="1119" priority="78">
      <formula>kvartal &lt; 4</formula>
    </cfRule>
  </conditionalFormatting>
  <conditionalFormatting sqref="F82:G83">
    <cfRule type="expression" dxfId="1118" priority="77">
      <formula>kvartal &lt; 4</formula>
    </cfRule>
  </conditionalFormatting>
  <conditionalFormatting sqref="F89:G90">
    <cfRule type="expression" dxfId="1117" priority="72">
      <formula>kvartal &lt; 4</formula>
    </cfRule>
  </conditionalFormatting>
  <conditionalFormatting sqref="F92:G93">
    <cfRule type="expression" dxfId="1116" priority="71">
      <formula>kvartal &lt; 4</formula>
    </cfRule>
  </conditionalFormatting>
  <conditionalFormatting sqref="F100:G101">
    <cfRule type="expression" dxfId="1115" priority="70">
      <formula>kvartal &lt; 4</formula>
    </cfRule>
  </conditionalFormatting>
  <conditionalFormatting sqref="F103:G104">
    <cfRule type="expression" dxfId="1114" priority="69">
      <formula>kvartal &lt; 4</formula>
    </cfRule>
  </conditionalFormatting>
  <conditionalFormatting sqref="F113">
    <cfRule type="expression" dxfId="1113" priority="68">
      <formula>kvartal &lt; 4</formula>
    </cfRule>
  </conditionalFormatting>
  <conditionalFormatting sqref="G113">
    <cfRule type="expression" dxfId="1112" priority="67">
      <formula>kvartal &lt; 4</formula>
    </cfRule>
  </conditionalFormatting>
  <conditionalFormatting sqref="F121:G121">
    <cfRule type="expression" dxfId="1111" priority="66">
      <formula>kvartal &lt; 4</formula>
    </cfRule>
  </conditionalFormatting>
  <conditionalFormatting sqref="F67:G67">
    <cfRule type="expression" dxfId="1110" priority="65">
      <formula>kvartal &lt; 4</formula>
    </cfRule>
  </conditionalFormatting>
  <conditionalFormatting sqref="F70:G70">
    <cfRule type="expression" dxfId="1109" priority="64">
      <formula>kvartal &lt; 4</formula>
    </cfRule>
  </conditionalFormatting>
  <conditionalFormatting sqref="F78:G78">
    <cfRule type="expression" dxfId="1108" priority="63">
      <formula>kvartal &lt; 4</formula>
    </cfRule>
  </conditionalFormatting>
  <conditionalFormatting sqref="F81:G81">
    <cfRule type="expression" dxfId="1107" priority="62">
      <formula>kvartal &lt; 4</formula>
    </cfRule>
  </conditionalFormatting>
  <conditionalFormatting sqref="F88:G88">
    <cfRule type="expression" dxfId="1106" priority="56">
      <formula>kvartal &lt; 4</formula>
    </cfRule>
  </conditionalFormatting>
  <conditionalFormatting sqref="F91">
    <cfRule type="expression" dxfId="1105" priority="55">
      <formula>kvartal &lt; 4</formula>
    </cfRule>
  </conditionalFormatting>
  <conditionalFormatting sqref="G91">
    <cfRule type="expression" dxfId="1104" priority="54">
      <formula>kvartal &lt; 4</formula>
    </cfRule>
  </conditionalFormatting>
  <conditionalFormatting sqref="F99">
    <cfRule type="expression" dxfId="1103" priority="53">
      <formula>kvartal &lt; 4</formula>
    </cfRule>
  </conditionalFormatting>
  <conditionalFormatting sqref="G99">
    <cfRule type="expression" dxfId="1102" priority="52">
      <formula>kvartal &lt; 4</formula>
    </cfRule>
  </conditionalFormatting>
  <conditionalFormatting sqref="G102">
    <cfRule type="expression" dxfId="1101" priority="51">
      <formula>kvartal &lt; 4</formula>
    </cfRule>
  </conditionalFormatting>
  <conditionalFormatting sqref="F102">
    <cfRule type="expression" dxfId="1100" priority="50">
      <formula>kvartal &lt; 4</formula>
    </cfRule>
  </conditionalFormatting>
  <conditionalFormatting sqref="J67:K71">
    <cfRule type="expression" dxfId="1099" priority="49">
      <formula>kvartal &lt; 4</formula>
    </cfRule>
  </conditionalFormatting>
  <conditionalFormatting sqref="J72:K72">
    <cfRule type="expression" dxfId="1098" priority="48">
      <formula>kvartal &lt; 4</formula>
    </cfRule>
  </conditionalFormatting>
  <conditionalFormatting sqref="J78:K83">
    <cfRule type="expression" dxfId="1097" priority="47">
      <formula>kvartal &lt; 4</formula>
    </cfRule>
  </conditionalFormatting>
  <conditionalFormatting sqref="J88:K93">
    <cfRule type="expression" dxfId="1096" priority="44">
      <formula>kvartal &lt; 4</formula>
    </cfRule>
  </conditionalFormatting>
  <conditionalFormatting sqref="J99:K104">
    <cfRule type="expression" dxfId="1095" priority="43">
      <formula>kvartal &lt; 4</formula>
    </cfRule>
  </conditionalFormatting>
  <conditionalFormatting sqref="J113:K113">
    <cfRule type="expression" dxfId="1094" priority="42">
      <formula>kvartal &lt; 4</formula>
    </cfRule>
  </conditionalFormatting>
  <conditionalFormatting sqref="J121:K121">
    <cfRule type="expression" dxfId="1093" priority="41">
      <formula>kvartal &lt; 4</formula>
    </cfRule>
  </conditionalFormatting>
  <conditionalFormatting sqref="A23:A25">
    <cfRule type="expression" dxfId="1092" priority="10">
      <formula>kvartal &lt; 4</formula>
    </cfRule>
  </conditionalFormatting>
  <conditionalFormatting sqref="A48:A50">
    <cfRule type="expression" dxfId="1091" priority="9">
      <formula>kvartal &lt; 4</formula>
    </cfRule>
  </conditionalFormatting>
  <conditionalFormatting sqref="A67:A72">
    <cfRule type="expression" dxfId="1090" priority="8">
      <formula>kvartal &lt; 4</formula>
    </cfRule>
  </conditionalFormatting>
  <conditionalFormatting sqref="A113">
    <cfRule type="expression" dxfId="1089" priority="7">
      <formula>kvartal &lt; 4</formula>
    </cfRule>
  </conditionalFormatting>
  <conditionalFormatting sqref="A121">
    <cfRule type="expression" dxfId="1088" priority="6">
      <formula>kvartal &lt; 4</formula>
    </cfRule>
  </conditionalFormatting>
  <conditionalFormatting sqref="A26">
    <cfRule type="expression" dxfId="1087" priority="5">
      <formula>kvartal &lt; 4</formula>
    </cfRule>
  </conditionalFormatting>
  <conditionalFormatting sqref="A29:A31">
    <cfRule type="expression" dxfId="1086" priority="4">
      <formula>kvartal &lt; 4</formula>
    </cfRule>
  </conditionalFormatting>
  <conditionalFormatting sqref="A78:A83">
    <cfRule type="expression" dxfId="1085" priority="3">
      <formula>kvartal &lt; 4</formula>
    </cfRule>
  </conditionalFormatting>
  <conditionalFormatting sqref="A88:A93">
    <cfRule type="expression" dxfId="1084" priority="2">
      <formula>kvartal &lt; 4</formula>
    </cfRule>
  </conditionalFormatting>
  <conditionalFormatting sqref="A99:A104">
    <cfRule type="expression" dxfId="1083" priority="1">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65</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3404.0881599999998</v>
      </c>
      <c r="C45" s="300">
        <v>3254.4537799999998</v>
      </c>
      <c r="D45" s="410">
        <f t="shared" ref="D45:D46" si="0">IF(B45=0, "    ---- ", IF(ABS(ROUND(100/B45*C45-100,1))&lt;999,ROUND(100/B45*C45-100,1),IF(ROUND(100/B45*C45-100,1)&gt;999,999,-999)))</f>
        <v>-4.4000000000000004</v>
      </c>
      <c r="E45" s="11">
        <f>IFERROR(100/'Skjema total MA'!C45*C45,0)</f>
        <v>9.7488712298478358E-2</v>
      </c>
      <c r="F45" s="142"/>
      <c r="G45" s="31"/>
      <c r="H45" s="156"/>
      <c r="I45" s="156"/>
      <c r="J45" s="35"/>
      <c r="K45" s="35"/>
      <c r="L45" s="156"/>
      <c r="M45" s="156"/>
      <c r="N45" s="145"/>
      <c r="O45" s="145"/>
    </row>
    <row r="46" spans="1:15" s="3" customFormat="1" ht="15.75" x14ac:dyDescent="0.2">
      <c r="A46" s="36" t="s">
        <v>407</v>
      </c>
      <c r="B46" s="278">
        <v>481</v>
      </c>
      <c r="C46" s="279">
        <v>825.49282000000005</v>
      </c>
      <c r="D46" s="253">
        <f t="shared" si="0"/>
        <v>71.599999999999994</v>
      </c>
      <c r="E46" s="25">
        <f>IFERROR(100/'Skjema total MA'!C46*C46,0)</f>
        <v>4.5354590997230507E-2</v>
      </c>
      <c r="F46" s="142"/>
      <c r="G46" s="31"/>
      <c r="H46" s="142"/>
      <c r="I46" s="142"/>
      <c r="J46" s="31"/>
      <c r="K46" s="31"/>
      <c r="L46" s="156"/>
      <c r="M46" s="156"/>
      <c r="N46" s="145"/>
      <c r="O46" s="145"/>
    </row>
    <row r="47" spans="1:15" s="3" customFormat="1" ht="15.75" x14ac:dyDescent="0.2">
      <c r="A47" s="36" t="s">
        <v>408</v>
      </c>
      <c r="B47" s="42">
        <v>2923.0881599999998</v>
      </c>
      <c r="C47" s="282">
        <v>2428.9609599999999</v>
      </c>
      <c r="D47" s="253">
        <f>IF(B47=0, "    ---- ", IF(ABS(ROUND(100/B47*C47-100,1))&lt;999,ROUND(100/B47*C47-100,1),IF(ROUND(100/B47*C47-100,1)&gt;999,999,-999)))</f>
        <v>-16.899999999999999</v>
      </c>
      <c r="E47" s="25">
        <f>IFERROR(100/'Skjema total MA'!C47*C47,0)</f>
        <v>0.15998939588363575</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v>26074647</v>
      </c>
      <c r="C132" s="298">
        <v>23692638.028390002</v>
      </c>
      <c r="D132" s="336">
        <f>IF(B132=0, "    ---- ", IF(ABS(ROUND(100/B132*C132-100,1))&lt;999,ROUND(100/B132*C132-100,1),IF(ROUND(100/B132*C132-100,1)&gt;999,999,-999)))</f>
        <v>-9.1</v>
      </c>
      <c r="E132" s="11">
        <f>IFERROR(100/'Skjema total MA'!C132*C132,0)</f>
        <v>87.852206097975994</v>
      </c>
      <c r="F132" s="305">
        <v>110318.236</v>
      </c>
      <c r="G132" s="306">
        <v>84881.887000000002</v>
      </c>
      <c r="H132" s="414">
        <f>IF(F132=0, "    ---- ", IF(ABS(ROUND(100/F132*G132-100,1))&lt;999,ROUND(100/F132*G132-100,1),IF(ROUND(100/F132*G132-100,1)&gt;999,999,-999)))</f>
        <v>-23.1</v>
      </c>
      <c r="I132" s="22">
        <f>IFERROR(100/'Skjema total MA'!F132*G132,0)</f>
        <v>100</v>
      </c>
      <c r="J132" s="307">
        <f t="shared" ref="J132:K135" si="1">SUM(B132,F132)</f>
        <v>26184965.236000001</v>
      </c>
      <c r="K132" s="307">
        <f t="shared" si="1"/>
        <v>23777519.91539</v>
      </c>
      <c r="L132" s="410">
        <f>IF(J132=0, "    ---- ", IF(ABS(ROUND(100/J132*K132-100,1))&lt;999,ROUND(100/J132*K132-100,1),IF(ROUND(100/J132*K132-100,1)&gt;999,999,-999)))</f>
        <v>-9.1999999999999993</v>
      </c>
      <c r="M132" s="11">
        <f>IFERROR(100/'Skjema total MA'!I132*K132,0)</f>
        <v>87.890320308985352</v>
      </c>
      <c r="N132" s="145"/>
      <c r="O132" s="145"/>
    </row>
    <row r="133" spans="1:15" s="3" customFormat="1" ht="15.75" x14ac:dyDescent="0.2">
      <c r="A133" s="13" t="s">
        <v>418</v>
      </c>
      <c r="B133" s="234">
        <v>416576263.68419999</v>
      </c>
      <c r="C133" s="298">
        <v>439040297.38777</v>
      </c>
      <c r="D133" s="168">
        <f>IF(B133=0, "    ---- ", IF(ABS(ROUND(100/B133*C133-100,1))&lt;999,ROUND(100/B133*C133-100,1),IF(ROUND(100/B133*C133-100,1)&gt;999,999,-999)))</f>
        <v>5.4</v>
      </c>
      <c r="E133" s="11">
        <f>IFERROR(100/'Skjema total MA'!C133*C133,0)</f>
        <v>85.906616252905437</v>
      </c>
      <c r="F133" s="234">
        <v>2160404.7961499998</v>
      </c>
      <c r="G133" s="298">
        <v>2330198.9161499999</v>
      </c>
      <c r="H133" s="415">
        <f>IF(F133=0, "    ---- ", IF(ABS(ROUND(100/F133*G133-100,1))&lt;999,ROUND(100/F133*G133-100,1),IF(ROUND(100/F133*G133-100,1)&gt;999,999,-999)))</f>
        <v>7.9</v>
      </c>
      <c r="I133" s="22">
        <f>IFERROR(100/'Skjema total MA'!F133*G133,0)</f>
        <v>100</v>
      </c>
      <c r="J133" s="297">
        <f t="shared" si="1"/>
        <v>418736668.48035002</v>
      </c>
      <c r="K133" s="297">
        <f t="shared" si="1"/>
        <v>441370496.30391997</v>
      </c>
      <c r="L133" s="411">
        <f>IF(J133=0, "    ---- ", IF(ABS(ROUND(100/J133*K133-100,1))&lt;999,ROUND(100/J133*K133-100,1),IF(ROUND(100/J133*K133-100,1)&gt;999,999,-999)))</f>
        <v>5.4</v>
      </c>
      <c r="M133" s="11">
        <f>IFERROR(100/'Skjema total MA'!I133*K133,0)</f>
        <v>85.970583085499683</v>
      </c>
      <c r="N133" s="145"/>
      <c r="O133" s="145"/>
    </row>
    <row r="134" spans="1:15" s="3" customFormat="1" ht="15.75" x14ac:dyDescent="0.2">
      <c r="A134" s="13" t="s">
        <v>419</v>
      </c>
      <c r="B134" s="234">
        <v>3531552.75</v>
      </c>
      <c r="C134" s="298">
        <v>183490.30300000001</v>
      </c>
      <c r="D134" s="168">
        <f>IF(B134=0, "    ---- ", IF(ABS(ROUND(100/B134*C134-100,1))&lt;999,ROUND(100/B134*C134-100,1),IF(ROUND(100/B134*C134-100,1)&gt;999,999,-999)))</f>
        <v>-94.8</v>
      </c>
      <c r="E134" s="11">
        <f>IFERROR(100/'Skjema total MA'!C134*C134,0)</f>
        <v>100</v>
      </c>
      <c r="F134" s="234">
        <v>-300.541</v>
      </c>
      <c r="G134" s="298">
        <v>24988.125</v>
      </c>
      <c r="H134" s="415">
        <f>IF(F134=0, "    ---- ", IF(ABS(ROUND(100/F134*G134-100,1))&lt;999,ROUND(100/F134*G134-100,1),IF(ROUND(100/F134*G134-100,1)&gt;999,999,-999)))</f>
        <v>-999</v>
      </c>
      <c r="I134" s="22">
        <f>IFERROR(100/'Skjema total MA'!F134*G134,0)</f>
        <v>100</v>
      </c>
      <c r="J134" s="297">
        <f t="shared" si="1"/>
        <v>3531252.2089999998</v>
      </c>
      <c r="K134" s="297">
        <f t="shared" si="1"/>
        <v>208478.42800000001</v>
      </c>
      <c r="L134" s="411">
        <f>IF(J134=0, "    ---- ", IF(ABS(ROUND(100/J134*K134-100,1))&lt;999,ROUND(100/J134*K134-100,1),IF(ROUND(100/J134*K134-100,1)&gt;999,999,-999)))</f>
        <v>-94.1</v>
      </c>
      <c r="M134" s="11">
        <f>IFERROR(100/'Skjema total MA'!I134*K134,0)</f>
        <v>100</v>
      </c>
      <c r="N134" s="145"/>
      <c r="O134" s="145"/>
    </row>
    <row r="135" spans="1:15" s="3" customFormat="1" ht="15.75" x14ac:dyDescent="0.2">
      <c r="A135" s="39" t="s">
        <v>420</v>
      </c>
      <c r="B135" s="273">
        <v>123887.451</v>
      </c>
      <c r="C135" s="304">
        <v>211317.467</v>
      </c>
      <c r="D135" s="166">
        <f>IF(B135=0, "    ---- ", IF(ABS(ROUND(100/B135*C135-100,1))&lt;999,ROUND(100/B135*C135-100,1),IF(ROUND(100/B135*C135-100,1)&gt;999,999,-999)))</f>
        <v>70.599999999999994</v>
      </c>
      <c r="E135" s="9">
        <f>IFERROR(100/'Skjema total MA'!C135*C135,0)</f>
        <v>58.947290916624631</v>
      </c>
      <c r="F135" s="273"/>
      <c r="G135" s="304"/>
      <c r="H135" s="416"/>
      <c r="I135" s="34"/>
      <c r="J135" s="303">
        <f t="shared" si="1"/>
        <v>123887.451</v>
      </c>
      <c r="K135" s="303">
        <f t="shared" si="1"/>
        <v>211317.467</v>
      </c>
      <c r="L135" s="412">
        <f>IF(J135=0, "    ---- ", IF(ABS(ROUND(100/J135*K135-100,1))&lt;999,ROUND(100/J135*K135-100,1),IF(ROUND(100/J135*K135-100,1)&gt;999,999,-999)))</f>
        <v>70.599999999999994</v>
      </c>
      <c r="M135" s="34">
        <f>IFERROR(100/'Skjema total MA'!I135*K135,0)</f>
        <v>58.947290916624631</v>
      </c>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082" priority="142">
      <formula>kvartal &lt; 4</formula>
    </cfRule>
  </conditionalFormatting>
  <conditionalFormatting sqref="B29">
    <cfRule type="expression" dxfId="1081" priority="140">
      <formula>kvartal &lt; 4</formula>
    </cfRule>
  </conditionalFormatting>
  <conditionalFormatting sqref="B30">
    <cfRule type="expression" dxfId="1080" priority="139">
      <formula>kvartal &lt; 4</formula>
    </cfRule>
  </conditionalFormatting>
  <conditionalFormatting sqref="B31">
    <cfRule type="expression" dxfId="1079" priority="138">
      <formula>kvartal &lt; 4</formula>
    </cfRule>
  </conditionalFormatting>
  <conditionalFormatting sqref="C29">
    <cfRule type="expression" dxfId="1078" priority="137">
      <formula>kvartal &lt; 4</formula>
    </cfRule>
  </conditionalFormatting>
  <conditionalFormatting sqref="C30">
    <cfRule type="expression" dxfId="1077" priority="136">
      <formula>kvartal &lt; 4</formula>
    </cfRule>
  </conditionalFormatting>
  <conditionalFormatting sqref="C31">
    <cfRule type="expression" dxfId="1076" priority="135">
      <formula>kvartal &lt; 4</formula>
    </cfRule>
  </conditionalFormatting>
  <conditionalFormatting sqref="B23:C25">
    <cfRule type="expression" dxfId="1075" priority="134">
      <formula>kvartal &lt; 4</formula>
    </cfRule>
  </conditionalFormatting>
  <conditionalFormatting sqref="F23:G25">
    <cfRule type="expression" dxfId="1074" priority="130">
      <formula>kvartal &lt; 4</formula>
    </cfRule>
  </conditionalFormatting>
  <conditionalFormatting sqref="F29">
    <cfRule type="expression" dxfId="1073" priority="123">
      <formula>kvartal &lt; 4</formula>
    </cfRule>
  </conditionalFormatting>
  <conditionalFormatting sqref="F30">
    <cfRule type="expression" dxfId="1072" priority="122">
      <formula>kvartal &lt; 4</formula>
    </cfRule>
  </conditionalFormatting>
  <conditionalFormatting sqref="F31">
    <cfRule type="expression" dxfId="1071" priority="121">
      <formula>kvartal &lt; 4</formula>
    </cfRule>
  </conditionalFormatting>
  <conditionalFormatting sqref="G29">
    <cfRule type="expression" dxfId="1070" priority="120">
      <formula>kvartal &lt; 4</formula>
    </cfRule>
  </conditionalFormatting>
  <conditionalFormatting sqref="G30">
    <cfRule type="expression" dxfId="1069" priority="119">
      <formula>kvartal &lt; 4</formula>
    </cfRule>
  </conditionalFormatting>
  <conditionalFormatting sqref="G31">
    <cfRule type="expression" dxfId="1068" priority="118">
      <formula>kvartal &lt; 4</formula>
    </cfRule>
  </conditionalFormatting>
  <conditionalFormatting sqref="B26">
    <cfRule type="expression" dxfId="1067" priority="117">
      <formula>kvartal &lt; 4</formula>
    </cfRule>
  </conditionalFormatting>
  <conditionalFormatting sqref="C26">
    <cfRule type="expression" dxfId="1066" priority="116">
      <formula>kvartal &lt; 4</formula>
    </cfRule>
  </conditionalFormatting>
  <conditionalFormatting sqref="F26">
    <cfRule type="expression" dxfId="1065" priority="115">
      <formula>kvartal &lt; 4</formula>
    </cfRule>
  </conditionalFormatting>
  <conditionalFormatting sqref="G26">
    <cfRule type="expression" dxfId="1064" priority="114">
      <formula>kvartal &lt; 4</formula>
    </cfRule>
  </conditionalFormatting>
  <conditionalFormatting sqref="J23:K26">
    <cfRule type="expression" dxfId="1063" priority="113">
      <formula>kvartal &lt; 4</formula>
    </cfRule>
  </conditionalFormatting>
  <conditionalFormatting sqref="J29:K31">
    <cfRule type="expression" dxfId="1062" priority="111">
      <formula>kvartal &lt; 4</formula>
    </cfRule>
  </conditionalFormatting>
  <conditionalFormatting sqref="B67">
    <cfRule type="expression" dxfId="1061" priority="110">
      <formula>kvartal &lt; 4</formula>
    </cfRule>
  </conditionalFormatting>
  <conditionalFormatting sqref="C67">
    <cfRule type="expression" dxfId="1060" priority="109">
      <formula>kvartal &lt; 4</formula>
    </cfRule>
  </conditionalFormatting>
  <conditionalFormatting sqref="B70">
    <cfRule type="expression" dxfId="1059" priority="108">
      <formula>kvartal &lt; 4</formula>
    </cfRule>
  </conditionalFormatting>
  <conditionalFormatting sqref="C70">
    <cfRule type="expression" dxfId="1058" priority="107">
      <formula>kvartal &lt; 4</formula>
    </cfRule>
  </conditionalFormatting>
  <conditionalFormatting sqref="B78">
    <cfRule type="expression" dxfId="1057" priority="106">
      <formula>kvartal &lt; 4</formula>
    </cfRule>
  </conditionalFormatting>
  <conditionalFormatting sqref="C78">
    <cfRule type="expression" dxfId="1056" priority="105">
      <formula>kvartal &lt; 4</formula>
    </cfRule>
  </conditionalFormatting>
  <conditionalFormatting sqref="B81">
    <cfRule type="expression" dxfId="1055" priority="104">
      <formula>kvartal &lt; 4</formula>
    </cfRule>
  </conditionalFormatting>
  <conditionalFormatting sqref="C81">
    <cfRule type="expression" dxfId="1054" priority="103">
      <formula>kvartal &lt; 4</formula>
    </cfRule>
  </conditionalFormatting>
  <conditionalFormatting sqref="B88">
    <cfRule type="expression" dxfId="1053" priority="94">
      <formula>kvartal &lt; 4</formula>
    </cfRule>
  </conditionalFormatting>
  <conditionalFormatting sqref="C88">
    <cfRule type="expression" dxfId="1052" priority="93">
      <formula>kvartal &lt; 4</formula>
    </cfRule>
  </conditionalFormatting>
  <conditionalFormatting sqref="B91">
    <cfRule type="expression" dxfId="1051" priority="92">
      <formula>kvartal &lt; 4</formula>
    </cfRule>
  </conditionalFormatting>
  <conditionalFormatting sqref="C91">
    <cfRule type="expression" dxfId="1050" priority="91">
      <formula>kvartal &lt; 4</formula>
    </cfRule>
  </conditionalFormatting>
  <conditionalFormatting sqref="B99">
    <cfRule type="expression" dxfId="1049" priority="90">
      <formula>kvartal &lt; 4</formula>
    </cfRule>
  </conditionalFormatting>
  <conditionalFormatting sqref="C99">
    <cfRule type="expression" dxfId="1048" priority="89">
      <formula>kvartal &lt; 4</formula>
    </cfRule>
  </conditionalFormatting>
  <conditionalFormatting sqref="B102">
    <cfRule type="expression" dxfId="1047" priority="88">
      <formula>kvartal &lt; 4</formula>
    </cfRule>
  </conditionalFormatting>
  <conditionalFormatting sqref="C102">
    <cfRule type="expression" dxfId="1046" priority="87">
      <formula>kvartal &lt; 4</formula>
    </cfRule>
  </conditionalFormatting>
  <conditionalFormatting sqref="B113">
    <cfRule type="expression" dxfId="1045" priority="86">
      <formula>kvartal &lt; 4</formula>
    </cfRule>
  </conditionalFormatting>
  <conditionalFormatting sqref="C113">
    <cfRule type="expression" dxfId="1044" priority="85">
      <formula>kvartal &lt; 4</formula>
    </cfRule>
  </conditionalFormatting>
  <conditionalFormatting sqref="B121">
    <cfRule type="expression" dxfId="1043" priority="84">
      <formula>kvartal &lt; 4</formula>
    </cfRule>
  </conditionalFormatting>
  <conditionalFormatting sqref="C121">
    <cfRule type="expression" dxfId="1042" priority="83">
      <formula>kvartal &lt; 4</formula>
    </cfRule>
  </conditionalFormatting>
  <conditionalFormatting sqref="F68">
    <cfRule type="expression" dxfId="1041" priority="82">
      <formula>kvartal &lt; 4</formula>
    </cfRule>
  </conditionalFormatting>
  <conditionalFormatting sqref="G68">
    <cfRule type="expression" dxfId="1040" priority="81">
      <formula>kvartal &lt; 4</formula>
    </cfRule>
  </conditionalFormatting>
  <conditionalFormatting sqref="F69:G69">
    <cfRule type="expression" dxfId="1039" priority="80">
      <formula>kvartal &lt; 4</formula>
    </cfRule>
  </conditionalFormatting>
  <conditionalFormatting sqref="F71:G72">
    <cfRule type="expression" dxfId="1038" priority="79">
      <formula>kvartal &lt; 4</formula>
    </cfRule>
  </conditionalFormatting>
  <conditionalFormatting sqref="F79:G80">
    <cfRule type="expression" dxfId="1037" priority="78">
      <formula>kvartal &lt; 4</formula>
    </cfRule>
  </conditionalFormatting>
  <conditionalFormatting sqref="F82:G83">
    <cfRule type="expression" dxfId="1036" priority="77">
      <formula>kvartal &lt; 4</formula>
    </cfRule>
  </conditionalFormatting>
  <conditionalFormatting sqref="F89:G90">
    <cfRule type="expression" dxfId="1035" priority="72">
      <formula>kvartal &lt; 4</formula>
    </cfRule>
  </conditionalFormatting>
  <conditionalFormatting sqref="F92:G93">
    <cfRule type="expression" dxfId="1034" priority="71">
      <formula>kvartal &lt; 4</formula>
    </cfRule>
  </conditionalFormatting>
  <conditionalFormatting sqref="F100:G101">
    <cfRule type="expression" dxfId="1033" priority="70">
      <formula>kvartal &lt; 4</formula>
    </cfRule>
  </conditionalFormatting>
  <conditionalFormatting sqref="F103:G104">
    <cfRule type="expression" dxfId="1032" priority="69">
      <formula>kvartal &lt; 4</formula>
    </cfRule>
  </conditionalFormatting>
  <conditionalFormatting sqref="F113">
    <cfRule type="expression" dxfId="1031" priority="68">
      <formula>kvartal &lt; 4</formula>
    </cfRule>
  </conditionalFormatting>
  <conditionalFormatting sqref="G113">
    <cfRule type="expression" dxfId="1030" priority="67">
      <formula>kvartal &lt; 4</formula>
    </cfRule>
  </conditionalFormatting>
  <conditionalFormatting sqref="F121:G121">
    <cfRule type="expression" dxfId="1029" priority="66">
      <formula>kvartal &lt; 4</formula>
    </cfRule>
  </conditionalFormatting>
  <conditionalFormatting sqref="F67:G67">
    <cfRule type="expression" dxfId="1028" priority="65">
      <formula>kvartal &lt; 4</formula>
    </cfRule>
  </conditionalFormatting>
  <conditionalFormatting sqref="F70:G70">
    <cfRule type="expression" dxfId="1027" priority="64">
      <formula>kvartal &lt; 4</formula>
    </cfRule>
  </conditionalFormatting>
  <conditionalFormatting sqref="F78:G78">
    <cfRule type="expression" dxfId="1026" priority="63">
      <formula>kvartal &lt; 4</formula>
    </cfRule>
  </conditionalFormatting>
  <conditionalFormatting sqref="F81:G81">
    <cfRule type="expression" dxfId="1025" priority="62">
      <formula>kvartal &lt; 4</formula>
    </cfRule>
  </conditionalFormatting>
  <conditionalFormatting sqref="F88:G88">
    <cfRule type="expression" dxfId="1024" priority="56">
      <formula>kvartal &lt; 4</formula>
    </cfRule>
  </conditionalFormatting>
  <conditionalFormatting sqref="F91">
    <cfRule type="expression" dxfId="1023" priority="55">
      <formula>kvartal &lt; 4</formula>
    </cfRule>
  </conditionalFormatting>
  <conditionalFormatting sqref="G91">
    <cfRule type="expression" dxfId="1022" priority="54">
      <formula>kvartal &lt; 4</formula>
    </cfRule>
  </conditionalFormatting>
  <conditionalFormatting sqref="F99">
    <cfRule type="expression" dxfId="1021" priority="53">
      <formula>kvartal &lt; 4</formula>
    </cfRule>
  </conditionalFormatting>
  <conditionalFormatting sqref="G99">
    <cfRule type="expression" dxfId="1020" priority="52">
      <formula>kvartal &lt; 4</formula>
    </cfRule>
  </conditionalFormatting>
  <conditionalFormatting sqref="G102">
    <cfRule type="expression" dxfId="1019" priority="51">
      <formula>kvartal &lt; 4</formula>
    </cfRule>
  </conditionalFormatting>
  <conditionalFormatting sqref="F102">
    <cfRule type="expression" dxfId="1018" priority="50">
      <formula>kvartal &lt; 4</formula>
    </cfRule>
  </conditionalFormatting>
  <conditionalFormatting sqref="J67:K71">
    <cfRule type="expression" dxfId="1017" priority="49">
      <formula>kvartal &lt; 4</formula>
    </cfRule>
  </conditionalFormatting>
  <conditionalFormatting sqref="J72:K72">
    <cfRule type="expression" dxfId="1016" priority="48">
      <formula>kvartal &lt; 4</formula>
    </cfRule>
  </conditionalFormatting>
  <conditionalFormatting sqref="J78:K83">
    <cfRule type="expression" dxfId="1015" priority="47">
      <formula>kvartal &lt; 4</formula>
    </cfRule>
  </conditionalFormatting>
  <conditionalFormatting sqref="J88:K93">
    <cfRule type="expression" dxfId="1014" priority="44">
      <formula>kvartal &lt; 4</formula>
    </cfRule>
  </conditionalFormatting>
  <conditionalFormatting sqref="J99:K104">
    <cfRule type="expression" dxfId="1013" priority="43">
      <formula>kvartal &lt; 4</formula>
    </cfRule>
  </conditionalFormatting>
  <conditionalFormatting sqref="J113:K113">
    <cfRule type="expression" dxfId="1012" priority="42">
      <formula>kvartal &lt; 4</formula>
    </cfRule>
  </conditionalFormatting>
  <conditionalFormatting sqref="J121:K121">
    <cfRule type="expression" dxfId="1011" priority="41">
      <formula>kvartal &lt; 4</formula>
    </cfRule>
  </conditionalFormatting>
  <conditionalFormatting sqref="A23:A25">
    <cfRule type="expression" dxfId="1010" priority="10">
      <formula>kvartal &lt; 4</formula>
    </cfRule>
  </conditionalFormatting>
  <conditionalFormatting sqref="A48:A50">
    <cfRule type="expression" dxfId="1009" priority="9">
      <formula>kvartal &lt; 4</formula>
    </cfRule>
  </conditionalFormatting>
  <conditionalFormatting sqref="A67:A72">
    <cfRule type="expression" dxfId="1008" priority="8">
      <formula>kvartal &lt; 4</formula>
    </cfRule>
  </conditionalFormatting>
  <conditionalFormatting sqref="A113">
    <cfRule type="expression" dxfId="1007" priority="7">
      <formula>kvartal &lt; 4</formula>
    </cfRule>
  </conditionalFormatting>
  <conditionalFormatting sqref="A121">
    <cfRule type="expression" dxfId="1006" priority="6">
      <formula>kvartal &lt; 4</formula>
    </cfRule>
  </conditionalFormatting>
  <conditionalFormatting sqref="A26">
    <cfRule type="expression" dxfId="1005" priority="5">
      <formula>kvartal &lt; 4</formula>
    </cfRule>
  </conditionalFormatting>
  <conditionalFormatting sqref="A29:A31">
    <cfRule type="expression" dxfId="1004" priority="4">
      <formula>kvartal &lt; 4</formula>
    </cfRule>
  </conditionalFormatting>
  <conditionalFormatting sqref="A78:A83">
    <cfRule type="expression" dxfId="1003" priority="3">
      <formula>kvartal &lt; 4</formula>
    </cfRule>
  </conditionalFormatting>
  <conditionalFormatting sqref="A88:A93">
    <cfRule type="expression" dxfId="1002" priority="2">
      <formula>kvartal &lt; 4</formula>
    </cfRule>
  </conditionalFormatting>
  <conditionalFormatting sqref="A99:A104">
    <cfRule type="expression" dxfId="1001" priority="1">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100</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82464</v>
      </c>
      <c r="C64" s="338">
        <v>61324</v>
      </c>
      <c r="D64" s="336">
        <f>IF(B64=0, "    ---- ", IF(ABS(ROUND(100/B64*C64-100,1))&lt;999,ROUND(100/B64*C64-100,1),IF(ROUND(100/B64*C64-100,1)&gt;999,999,-999)))</f>
        <v>-25.6</v>
      </c>
      <c r="E64" s="11">
        <f>IFERROR(100/'Skjema total MA'!C64*C64,0)</f>
        <v>0.90346648247009131</v>
      </c>
      <c r="F64" s="337">
        <v>199650</v>
      </c>
      <c r="G64" s="337">
        <v>262322</v>
      </c>
      <c r="H64" s="336">
        <f>IF(F64=0, "    ---- ", IF(ABS(ROUND(100/F64*G64-100,1))&lt;999,ROUND(100/F64*G64-100,1),IF(ROUND(100/F64*G64-100,1)&gt;999,999,-999)))</f>
        <v>31.4</v>
      </c>
      <c r="I64" s="11">
        <f>IFERROR(100/'Skjema total MA'!F64*G64,0)</f>
        <v>1.3326076330985841</v>
      </c>
      <c r="J64" s="298">
        <f t="shared" ref="J64:K66" si="0">SUM(B64,F64)</f>
        <v>282114</v>
      </c>
      <c r="K64" s="305">
        <f t="shared" si="0"/>
        <v>323646</v>
      </c>
      <c r="L64" s="411">
        <f>IF(J64=0, "    ---- ", IF(ABS(ROUND(100/J64*K64-100,1))&lt;999,ROUND(100/J64*K64-100,1),IF(ROUND(100/J64*K64-100,1)&gt;999,999,-999)))</f>
        <v>14.7</v>
      </c>
      <c r="M64" s="11">
        <f>IFERROR(100/'Skjema total MA'!I64*K64,0)</f>
        <v>1.2225744532945637</v>
      </c>
      <c r="O64" s="145"/>
    </row>
    <row r="65" spans="1:15" x14ac:dyDescent="0.2">
      <c r="A65" s="402" t="s">
        <v>9</v>
      </c>
      <c r="B65" s="42">
        <v>82464</v>
      </c>
      <c r="C65" s="142">
        <v>61324</v>
      </c>
      <c r="D65" s="163">
        <f>IF(B65=0, "    ---- ", IF(ABS(ROUND(100/B65*C65-100,1))&lt;999,ROUND(100/B65*C65-100,1),IF(ROUND(100/B65*C65-100,1)&gt;999,999,-999)))</f>
        <v>-25.6</v>
      </c>
      <c r="E65" s="25">
        <f>IFERROR(100/'Skjema total MA'!C65*C65,0)</f>
        <v>0.95027289124175229</v>
      </c>
      <c r="F65" s="232"/>
      <c r="G65" s="142"/>
      <c r="H65" s="163"/>
      <c r="I65" s="25"/>
      <c r="J65" s="282">
        <f t="shared" si="0"/>
        <v>82464</v>
      </c>
      <c r="K65" s="42">
        <f t="shared" si="0"/>
        <v>61324</v>
      </c>
      <c r="L65" s="253">
        <f>IF(J65=0, "    ---- ", IF(ABS(ROUND(100/J65*K65-100,1))&lt;999,ROUND(100/J65*K65-100,1),IF(ROUND(100/J65*K65-100,1)&gt;999,999,-999)))</f>
        <v>-25.6</v>
      </c>
      <c r="M65" s="25">
        <f>IFERROR(100/'Skjema total MA'!I65*K65,0)</f>
        <v>0.95027289124175229</v>
      </c>
      <c r="O65" s="145"/>
    </row>
    <row r="66" spans="1:15" x14ac:dyDescent="0.2">
      <c r="A66" s="19" t="s">
        <v>10</v>
      </c>
      <c r="B66" s="284"/>
      <c r="C66" s="285"/>
      <c r="D66" s="163"/>
      <c r="E66" s="25"/>
      <c r="F66" s="284">
        <v>199650</v>
      </c>
      <c r="G66" s="285">
        <v>262322</v>
      </c>
      <c r="H66" s="163">
        <f>IF(F66=0, "    ---- ", IF(ABS(ROUND(100/F66*G66-100,1))&lt;999,ROUND(100/F66*G66-100,1),IF(ROUND(100/F66*G66-100,1)&gt;999,999,-999)))</f>
        <v>31.4</v>
      </c>
      <c r="I66" s="25">
        <f>IFERROR(100/'Skjema total MA'!F66*G66,0)</f>
        <v>1.3478511592388189</v>
      </c>
      <c r="J66" s="282">
        <f t="shared" si="0"/>
        <v>199650</v>
      </c>
      <c r="K66" s="42">
        <f t="shared" si="0"/>
        <v>262322</v>
      </c>
      <c r="L66" s="253">
        <f>IF(J66=0, "    ---- ", IF(ABS(ROUND(100/J66*K66-100,1))&lt;999,ROUND(100/J66*K66-100,1),IF(ROUND(100/J66*K66-100,1)&gt;999,999,-999)))</f>
        <v>31.4</v>
      </c>
      <c r="M66" s="25">
        <f>IFERROR(100/'Skjema total MA'!I66*K66,0)</f>
        <v>1.3383646844452968</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v>82464</v>
      </c>
      <c r="C75" s="232">
        <v>61324</v>
      </c>
      <c r="D75" s="163">
        <f>IF(B75=0, "    ---- ", IF(ABS(ROUND(100/B75*C75-100,1))&lt;999,ROUND(100/B75*C75-100,1),IF(ROUND(100/B75*C75-100,1)&gt;999,999,-999)))</f>
        <v>-25.6</v>
      </c>
      <c r="E75" s="25">
        <f>IFERROR(100/'Skjema total MA'!C75*C75,0)</f>
        <v>0.96008050886384677</v>
      </c>
      <c r="F75" s="232">
        <v>199650</v>
      </c>
      <c r="G75" s="142">
        <v>262322</v>
      </c>
      <c r="H75" s="163">
        <f>IF(F75=0, "    ---- ", IF(ABS(ROUND(100/F75*G75-100,1))&lt;999,ROUND(100/F75*G75-100,1),IF(ROUND(100/F75*G75-100,1)&gt;999,999,-999)))</f>
        <v>31.4</v>
      </c>
      <c r="I75" s="25">
        <f>IFERROR(100/'Skjema total MA'!F75*G75,0)</f>
        <v>1.3485242421485804</v>
      </c>
      <c r="J75" s="282">
        <f t="shared" ref="J75:K77" si="1">SUM(B75,F75)</f>
        <v>282114</v>
      </c>
      <c r="K75" s="42">
        <f t="shared" si="1"/>
        <v>323646</v>
      </c>
      <c r="L75" s="253">
        <f>IF(J75=0, "    ---- ", IF(ABS(ROUND(100/J75*K75-100,1))&lt;999,ROUND(100/J75*K75-100,1),IF(ROUND(100/J75*K75-100,1)&gt;999,999,-999)))</f>
        <v>14.7</v>
      </c>
      <c r="M75" s="25">
        <f>IFERROR(100/'Skjema total MA'!I75*K75,0)</f>
        <v>1.2525046114849538</v>
      </c>
      <c r="O75" s="145"/>
    </row>
    <row r="76" spans="1:15" x14ac:dyDescent="0.2">
      <c r="A76" s="19" t="s">
        <v>9</v>
      </c>
      <c r="B76" s="232">
        <v>82464</v>
      </c>
      <c r="C76" s="142">
        <v>61324</v>
      </c>
      <c r="D76" s="163">
        <f>IF(B76=0, "    ---- ", IF(ABS(ROUND(100/B76*C76-100,1))&lt;999,ROUND(100/B76*C76-100,1),IF(ROUND(100/B76*C76-100,1)&gt;999,999,-999)))</f>
        <v>-25.6</v>
      </c>
      <c r="E76" s="25">
        <f>IFERROR(100/'Skjema total MA'!C76*C76,0)</f>
        <v>0.9807840684736715</v>
      </c>
      <c r="F76" s="232"/>
      <c r="G76" s="142"/>
      <c r="H76" s="163"/>
      <c r="I76" s="25"/>
      <c r="J76" s="282">
        <f t="shared" si="1"/>
        <v>82464</v>
      </c>
      <c r="K76" s="42">
        <f t="shared" si="1"/>
        <v>61324</v>
      </c>
      <c r="L76" s="253">
        <f>IF(J76=0, "    ---- ", IF(ABS(ROUND(100/J76*K76-100,1))&lt;999,ROUND(100/J76*K76-100,1),IF(ROUND(100/J76*K76-100,1)&gt;999,999,-999)))</f>
        <v>-25.6</v>
      </c>
      <c r="M76" s="25">
        <f>IFERROR(100/'Skjema total MA'!I76*K76,0)</f>
        <v>0.9807840684736715</v>
      </c>
      <c r="O76" s="145"/>
    </row>
    <row r="77" spans="1:15" x14ac:dyDescent="0.2">
      <c r="A77" s="19" t="s">
        <v>10</v>
      </c>
      <c r="B77" s="284"/>
      <c r="C77" s="285"/>
      <c r="D77" s="163"/>
      <c r="E77" s="25"/>
      <c r="F77" s="284">
        <v>199650</v>
      </c>
      <c r="G77" s="285">
        <v>262322</v>
      </c>
      <c r="H77" s="163">
        <f>IF(F77=0, "    ---- ", IF(ABS(ROUND(100/F77*G77-100,1))&lt;999,ROUND(100/F77*G77-100,1),IF(ROUND(100/F77*G77-100,1)&gt;999,999,-999)))</f>
        <v>31.4</v>
      </c>
      <c r="I77" s="25">
        <f>IFERROR(100/'Skjema total MA'!F77*G77,0)</f>
        <v>1.3485242421485804</v>
      </c>
      <c r="J77" s="282">
        <f t="shared" si="1"/>
        <v>199650</v>
      </c>
      <c r="K77" s="42">
        <f t="shared" si="1"/>
        <v>262322</v>
      </c>
      <c r="L77" s="253">
        <f>IF(J77=0, "    ---- ", IF(ABS(ROUND(100/J77*K77-100,1))&lt;999,ROUND(100/J77*K77-100,1),IF(ROUND(100/J77*K77-100,1)&gt;999,999,-999)))</f>
        <v>31.4</v>
      </c>
      <c r="M77" s="25">
        <f>IFERROR(100/'Skjema total MA'!I77*K77,0)</f>
        <v>1.3392414767488419</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v>1465104</v>
      </c>
      <c r="C85" s="338">
        <v>1539670</v>
      </c>
      <c r="D85" s="168">
        <f>IF(B85=0, "    ---- ", IF(ABS(ROUND(100/B85*C85-100,1))&lt;999,ROUND(100/B85*C85-100,1),IF(ROUND(100/B85*C85-100,1)&gt;999,999,-999)))</f>
        <v>5.0999999999999996</v>
      </c>
      <c r="E85" s="11">
        <f>IFERROR(100/'Skjema total MA'!C85*C85,0)</f>
        <v>0.40984510710827893</v>
      </c>
      <c r="F85" s="337">
        <v>1486637</v>
      </c>
      <c r="G85" s="337">
        <v>2432471</v>
      </c>
      <c r="H85" s="168">
        <f>IF(F85=0, "    ---- ", IF(ABS(ROUND(100/F85*G85-100,1))&lt;999,ROUND(100/F85*G85-100,1),IF(ROUND(100/F85*G85-100,1)&gt;999,999,-999)))</f>
        <v>63.6</v>
      </c>
      <c r="I85" s="11">
        <f>IFERROR(100/'Skjema total MA'!F85*G85,0)</f>
        <v>1.1554120254771159</v>
      </c>
      <c r="J85" s="298">
        <f t="shared" ref="J85:K87" si="2">SUM(B85,F85)</f>
        <v>2951741</v>
      </c>
      <c r="K85" s="234">
        <f t="shared" si="2"/>
        <v>3972141</v>
      </c>
      <c r="L85" s="411">
        <f>IF(J85=0, "    ---- ", IF(ABS(ROUND(100/J85*K85-100,1))&lt;999,ROUND(100/J85*K85-100,1),IF(ROUND(100/J85*K85-100,1)&gt;999,999,-999)))</f>
        <v>34.6</v>
      </c>
      <c r="M85" s="11">
        <f>IFERROR(100/'Skjema total MA'!I85*K85,0)</f>
        <v>0.67760891183710048</v>
      </c>
      <c r="O85" s="145"/>
    </row>
    <row r="86" spans="1:15" x14ac:dyDescent="0.2">
      <c r="A86" s="19" t="s">
        <v>9</v>
      </c>
      <c r="B86" s="232">
        <v>1465104</v>
      </c>
      <c r="C86" s="142">
        <v>1539670</v>
      </c>
      <c r="D86" s="163">
        <f>IF(B86=0, "    ---- ", IF(ABS(ROUND(100/B86*C86-100,1))&lt;999,ROUND(100/B86*C86-100,1),IF(ROUND(100/B86*C86-100,1)&gt;999,999,-999)))</f>
        <v>5.0999999999999996</v>
      </c>
      <c r="E86" s="25">
        <f>IFERROR(100/'Skjema total MA'!C86*C86,0)</f>
        <v>0.41295538373796076</v>
      </c>
      <c r="F86" s="232"/>
      <c r="G86" s="142"/>
      <c r="H86" s="163"/>
      <c r="I86" s="25"/>
      <c r="J86" s="282">
        <f t="shared" si="2"/>
        <v>1465104</v>
      </c>
      <c r="K86" s="42">
        <f t="shared" si="2"/>
        <v>1539670</v>
      </c>
      <c r="L86" s="253">
        <f>IF(J86=0, "    ---- ", IF(ABS(ROUND(100/J86*K86-100,1))&lt;999,ROUND(100/J86*K86-100,1),IF(ROUND(100/J86*K86-100,1)&gt;999,999,-999)))</f>
        <v>5.0999999999999996</v>
      </c>
      <c r="M86" s="25">
        <f>IFERROR(100/'Skjema total MA'!I86*K86,0)</f>
        <v>0.41295538373796076</v>
      </c>
      <c r="O86" s="145"/>
    </row>
    <row r="87" spans="1:15" x14ac:dyDescent="0.2">
      <c r="A87" s="19" t="s">
        <v>10</v>
      </c>
      <c r="B87" s="232"/>
      <c r="C87" s="142"/>
      <c r="D87" s="163"/>
      <c r="E87" s="25"/>
      <c r="F87" s="232">
        <v>1486637</v>
      </c>
      <c r="G87" s="142">
        <v>2432471</v>
      </c>
      <c r="H87" s="163">
        <f>IF(F87=0, "    ---- ", IF(ABS(ROUND(100/F87*G87-100,1))&lt;999,ROUND(100/F87*G87-100,1),IF(ROUND(100/F87*G87-100,1)&gt;999,999,-999)))</f>
        <v>63.6</v>
      </c>
      <c r="I87" s="25">
        <f>IFERROR(100/'Skjema total MA'!F87*G87,0)</f>
        <v>1.1588042519356887</v>
      </c>
      <c r="J87" s="282">
        <f t="shared" si="2"/>
        <v>1486637</v>
      </c>
      <c r="K87" s="42">
        <f t="shared" si="2"/>
        <v>2432471</v>
      </c>
      <c r="L87" s="253">
        <f>IF(J87=0, "    ---- ", IF(ABS(ROUND(100/J87*K87-100,1))&lt;999,ROUND(100/J87*K87-100,1),IF(ROUND(100/J87*K87-100,1)&gt;999,999,-999)))</f>
        <v>63.6</v>
      </c>
      <c r="M87" s="25">
        <f>IFERROR(100/'Skjema total MA'!I87*K87,0)</f>
        <v>1.1451546537883921</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v>1465104</v>
      </c>
      <c r="C96" s="232">
        <v>1539670</v>
      </c>
      <c r="D96" s="163">
        <f>IF(B96=0, "    ---- ", IF(ABS(ROUND(100/B96*C96-100,1))&lt;999,ROUND(100/B96*C96-100,1),IF(ROUND(100/B96*C96-100,1)&gt;999,999,-999)))</f>
        <v>5.0999999999999996</v>
      </c>
      <c r="E96" s="25">
        <f>IFERROR(100/'Skjema total MA'!C96*C96,0)</f>
        <v>0.41561257615521219</v>
      </c>
      <c r="F96" s="284">
        <v>1486637</v>
      </c>
      <c r="G96" s="284">
        <v>2432471</v>
      </c>
      <c r="H96" s="163">
        <f>IF(F96=0, "    ---- ", IF(ABS(ROUND(100/F96*G96-100,1))&lt;999,ROUND(100/F96*G96-100,1),IF(ROUND(100/F96*G96-100,1)&gt;999,999,-999)))</f>
        <v>63.6</v>
      </c>
      <c r="I96" s="25">
        <f>IFERROR(100/'Skjema total MA'!F96*G96,0)</f>
        <v>1.1618459786842641</v>
      </c>
      <c r="J96" s="282">
        <f t="shared" ref="J96:K98" si="3">SUM(B96,F96)</f>
        <v>2951741</v>
      </c>
      <c r="K96" s="42">
        <f t="shared" si="3"/>
        <v>3972141</v>
      </c>
      <c r="L96" s="253">
        <f>IF(J96=0, "    ---- ", IF(ABS(ROUND(100/J96*K96-100,1))&lt;999,ROUND(100/J96*K96-100,1),IF(ROUND(100/J96*K96-100,1)&gt;999,999,-999)))</f>
        <v>34.6</v>
      </c>
      <c r="M96" s="25">
        <f>IFERROR(100/'Skjema total MA'!I96*K96,0)</f>
        <v>0.68506379930502459</v>
      </c>
      <c r="O96" s="145"/>
    </row>
    <row r="97" spans="1:15" x14ac:dyDescent="0.2">
      <c r="A97" s="19" t="s">
        <v>9</v>
      </c>
      <c r="B97" s="284">
        <v>1465104</v>
      </c>
      <c r="C97" s="285">
        <v>1539670</v>
      </c>
      <c r="D97" s="163">
        <f>IF(B97=0, "    ---- ", IF(ABS(ROUND(100/B97*C97-100,1))&lt;999,ROUND(100/B97*C97-100,1),IF(ROUND(100/B97*C97-100,1)&gt;999,999,-999)))</f>
        <v>5.0999999999999996</v>
      </c>
      <c r="E97" s="25">
        <f>IFERROR(100/'Skjema total MA'!C97*C97,0)</f>
        <v>0.41843866725608625</v>
      </c>
      <c r="F97" s="232"/>
      <c r="G97" s="142"/>
      <c r="H97" s="163"/>
      <c r="I97" s="25"/>
      <c r="J97" s="282">
        <f t="shared" si="3"/>
        <v>1465104</v>
      </c>
      <c r="K97" s="42">
        <f t="shared" si="3"/>
        <v>1539670</v>
      </c>
      <c r="L97" s="253">
        <f>IF(J97=0, "    ---- ", IF(ABS(ROUND(100/J97*K97-100,1))&lt;999,ROUND(100/J97*K97-100,1),IF(ROUND(100/J97*K97-100,1)&gt;999,999,-999)))</f>
        <v>5.0999999999999996</v>
      </c>
      <c r="M97" s="25">
        <f>IFERROR(100/'Skjema total MA'!I97*K97,0)</f>
        <v>0.41843866725608625</v>
      </c>
      <c r="O97" s="145"/>
    </row>
    <row r="98" spans="1:15" x14ac:dyDescent="0.2">
      <c r="A98" s="19" t="s">
        <v>10</v>
      </c>
      <c r="B98" s="284"/>
      <c r="C98" s="285"/>
      <c r="D98" s="163"/>
      <c r="E98" s="25"/>
      <c r="F98" s="232">
        <v>1486637</v>
      </c>
      <c r="G98" s="232">
        <v>2432471</v>
      </c>
      <c r="H98" s="163">
        <f>IF(F98=0, "    ---- ", IF(ABS(ROUND(100/F98*G98-100,1))&lt;999,ROUND(100/F98*G98-100,1),IF(ROUND(100/F98*G98-100,1)&gt;999,999,-999)))</f>
        <v>63.6</v>
      </c>
      <c r="I98" s="25">
        <f>IFERROR(100/'Skjema total MA'!F98*G98,0)</f>
        <v>1.1618459786842641</v>
      </c>
      <c r="J98" s="282">
        <f t="shared" si="3"/>
        <v>1486637</v>
      </c>
      <c r="K98" s="42">
        <f t="shared" si="3"/>
        <v>2432471</v>
      </c>
      <c r="L98" s="253">
        <f>IF(J98=0, "    ---- ", IF(ABS(ROUND(100/J98*K98-100,1))&lt;999,ROUND(100/J98*K98-100,1),IF(ROUND(100/J98*K98-100,1)&gt;999,999,-999)))</f>
        <v>63.6</v>
      </c>
      <c r="M98" s="25">
        <f>IFERROR(100/'Skjema total MA'!I98*K98,0)</f>
        <v>1.1481250534991265</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v>559759</v>
      </c>
      <c r="C106" s="232">
        <v>873667</v>
      </c>
      <c r="D106" s="163">
        <f>IF(B106=0, "    ---- ", IF(ABS(ROUND(100/B106*C106-100,1))&lt;999,ROUND(100/B106*C106-100,1),IF(ROUND(100/B106*C106-100,1)&gt;999,999,-999)))</f>
        <v>56.1</v>
      </c>
      <c r="E106" s="25">
        <f>IFERROR(100/'Skjema total MA'!C106*C106,0)</f>
        <v>0.29346637106774798</v>
      </c>
      <c r="F106" s="232"/>
      <c r="G106" s="232"/>
      <c r="H106" s="163"/>
      <c r="I106" s="25"/>
      <c r="J106" s="282">
        <f t="shared" ref="J106:K109" si="4">SUM(B106,F106)</f>
        <v>559759</v>
      </c>
      <c r="K106" s="42">
        <f t="shared" si="4"/>
        <v>873667</v>
      </c>
      <c r="L106" s="253">
        <f>IF(J106=0, "    ---- ", IF(ABS(ROUND(100/J106*K106-100,1))&lt;999,ROUND(100/J106*K106-100,1),IF(ROUND(100/J106*K106-100,1)&gt;999,999,-999)))</f>
        <v>56.1</v>
      </c>
      <c r="M106" s="25">
        <f>IFERROR(100/'Skjema total MA'!I106*K106,0)</f>
        <v>0.28687033859188377</v>
      </c>
      <c r="O106" s="145"/>
    </row>
    <row r="107" spans="1:15" ht="15.75" x14ac:dyDescent="0.2">
      <c r="A107" s="19" t="s">
        <v>414</v>
      </c>
      <c r="B107" s="232"/>
      <c r="C107" s="232"/>
      <c r="D107" s="163"/>
      <c r="E107" s="25"/>
      <c r="F107" s="232">
        <v>394013</v>
      </c>
      <c r="G107" s="232">
        <v>950823</v>
      </c>
      <c r="H107" s="163">
        <f>IF(F107=0, "    ---- ", IF(ABS(ROUND(100/F107*G107-100,1))&lt;999,ROUND(100/F107*G107-100,1),IF(ROUND(100/F107*G107-100,1)&gt;999,999,-999)))</f>
        <v>141.30000000000001</v>
      </c>
      <c r="I107" s="25">
        <f>IFERROR(100/'Skjema total MA'!F107*G107,0)</f>
        <v>1.417432966276938</v>
      </c>
      <c r="J107" s="282">
        <f t="shared" si="4"/>
        <v>394013</v>
      </c>
      <c r="K107" s="42">
        <f t="shared" si="4"/>
        <v>950823</v>
      </c>
      <c r="L107" s="253">
        <f>IF(J107=0, "    ---- ", IF(ABS(ROUND(100/J107*K107-100,1))&lt;999,ROUND(100/J107*K107-100,1),IF(ROUND(100/J107*K107-100,1)&gt;999,999,-999)))</f>
        <v>141.30000000000001</v>
      </c>
      <c r="M107" s="25">
        <f>IFERROR(100/'Skjema total MA'!I107*K107,0)</f>
        <v>1.4013606355541481</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5534</v>
      </c>
      <c r="C109" s="156">
        <v>746</v>
      </c>
      <c r="D109" s="168">
        <f>IF(B109=0, "    ---- ", IF(ABS(ROUND(100/B109*C109-100,1))&lt;999,ROUND(100/B109*C109-100,1),IF(ROUND(100/B109*C109-100,1)&gt;999,999,-999)))</f>
        <v>-86.5</v>
      </c>
      <c r="E109" s="11">
        <f>IFERROR(100/'Skjema total MA'!C109*C109,0)</f>
        <v>0.16027307022862497</v>
      </c>
      <c r="F109" s="297">
        <v>96365</v>
      </c>
      <c r="G109" s="156">
        <v>446270</v>
      </c>
      <c r="H109" s="168">
        <f>IF(F109=0, "    ---- ", IF(ABS(ROUND(100/F109*G109-100,1))&lt;999,ROUND(100/F109*G109-100,1),IF(ROUND(100/F109*G109-100,1)&gt;999,999,-999)))</f>
        <v>363.1</v>
      </c>
      <c r="I109" s="11">
        <f>IFERROR(100/'Skjema total MA'!F109*G109,0)</f>
        <v>5.4306379177804915</v>
      </c>
      <c r="J109" s="298">
        <f t="shared" si="4"/>
        <v>101899</v>
      </c>
      <c r="K109" s="234">
        <f t="shared" si="4"/>
        <v>447016</v>
      </c>
      <c r="L109" s="411">
        <f>IF(J109=0, "    ---- ", IF(ABS(ROUND(100/J109*K109-100,1))&lt;999,ROUND(100/J109*K109-100,1),IF(ROUND(100/J109*K109-100,1)&gt;999,999,-999)))</f>
        <v>338.7</v>
      </c>
      <c r="M109" s="11">
        <f>IFERROR(100/'Skjema total MA'!I109*K109,0)</f>
        <v>5.1481208950720427</v>
      </c>
      <c r="O109" s="145"/>
    </row>
    <row r="110" spans="1:15" x14ac:dyDescent="0.2">
      <c r="A110" s="19" t="s">
        <v>9</v>
      </c>
      <c r="B110" s="232">
        <v>5534</v>
      </c>
      <c r="C110" s="142">
        <v>746</v>
      </c>
      <c r="D110" s="163">
        <f t="shared" ref="D110:D118" si="5">IF(B110=0, "    ---- ", IF(ABS(ROUND(100/B110*C110-100,1))&lt;999,ROUND(100/B110*C110-100,1),IF(ROUND(100/B110*C110-100,1)&gt;999,999,-999)))</f>
        <v>-86.5</v>
      </c>
      <c r="E110" s="25">
        <f>IFERROR(100/'Skjema total MA'!C110*C110,0)</f>
        <v>0.16938847846971331</v>
      </c>
      <c r="F110" s="232"/>
      <c r="G110" s="142"/>
      <c r="H110" s="163"/>
      <c r="I110" s="25"/>
      <c r="J110" s="282">
        <f t="shared" ref="J110:K123" si="6">SUM(B110,F110)</f>
        <v>5534</v>
      </c>
      <c r="K110" s="42">
        <f t="shared" si="6"/>
        <v>746</v>
      </c>
      <c r="L110" s="253">
        <f t="shared" ref="L110:L123" si="7">IF(J110=0, "    ---- ", IF(ABS(ROUND(100/J110*K110-100,1))&lt;999,ROUND(100/J110*K110-100,1),IF(ROUND(100/J110*K110-100,1)&gt;999,999,-999)))</f>
        <v>-86.5</v>
      </c>
      <c r="M110" s="25">
        <f>IFERROR(100/'Skjema total MA'!I110*K110,0)</f>
        <v>0.16938847846971331</v>
      </c>
      <c r="O110" s="145"/>
    </row>
    <row r="111" spans="1:15" x14ac:dyDescent="0.2">
      <c r="A111" s="19" t="s">
        <v>10</v>
      </c>
      <c r="B111" s="232"/>
      <c r="C111" s="142"/>
      <c r="D111" s="163"/>
      <c r="E111" s="25"/>
      <c r="F111" s="232">
        <v>96365</v>
      </c>
      <c r="G111" s="142">
        <v>446270</v>
      </c>
      <c r="H111" s="163">
        <f t="shared" ref="H111:H123" si="8">IF(F111=0, "    ---- ", IF(ABS(ROUND(100/F111*G111-100,1))&lt;999,ROUND(100/F111*G111-100,1),IF(ROUND(100/F111*G111-100,1)&gt;999,999,-999)))</f>
        <v>363.1</v>
      </c>
      <c r="I111" s="25">
        <f>IFERROR(100/'Skjema total MA'!F111*G111,0)</f>
        <v>5.4306379177804915</v>
      </c>
      <c r="J111" s="282">
        <f t="shared" si="6"/>
        <v>96365</v>
      </c>
      <c r="K111" s="42">
        <f t="shared" si="6"/>
        <v>446270</v>
      </c>
      <c r="L111" s="253">
        <f t="shared" si="7"/>
        <v>363.1</v>
      </c>
      <c r="M111" s="25">
        <f>IFERROR(100/'Skjema total MA'!I111*K111,0)</f>
        <v>5.428859613774299</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v>37907</v>
      </c>
      <c r="G115" s="232">
        <v>335993</v>
      </c>
      <c r="H115" s="163">
        <f t="shared" si="8"/>
        <v>786.4</v>
      </c>
      <c r="I115" s="25">
        <f>IFERROR(100/'Skjema total MA'!F115*G115,0)</f>
        <v>23.499344789717721</v>
      </c>
      <c r="J115" s="282">
        <f t="shared" si="6"/>
        <v>37907</v>
      </c>
      <c r="K115" s="42">
        <f t="shared" si="6"/>
        <v>335993</v>
      </c>
      <c r="L115" s="253">
        <f t="shared" si="7"/>
        <v>786.4</v>
      </c>
      <c r="M115" s="25">
        <f>IFERROR(100/'Skjema total MA'!I115*K115,0)</f>
        <v>23.499344789717721</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4348</v>
      </c>
      <c r="C117" s="156">
        <v>14498</v>
      </c>
      <c r="D117" s="168">
        <f t="shared" si="5"/>
        <v>233.4</v>
      </c>
      <c r="E117" s="11">
        <f>IFERROR(100/'Skjema total MA'!C117*C117,0)</f>
        <v>3.8441433170198125</v>
      </c>
      <c r="F117" s="297">
        <v>38550</v>
      </c>
      <c r="G117" s="156">
        <v>97170</v>
      </c>
      <c r="H117" s="168">
        <f t="shared" si="8"/>
        <v>152.1</v>
      </c>
      <c r="I117" s="11">
        <f>IFERROR(100/'Skjema total MA'!F117*G117,0)</f>
        <v>1.186042668380616</v>
      </c>
      <c r="J117" s="298">
        <f t="shared" si="6"/>
        <v>42898</v>
      </c>
      <c r="K117" s="234">
        <f t="shared" si="6"/>
        <v>111668</v>
      </c>
      <c r="L117" s="411">
        <f t="shared" si="7"/>
        <v>160.30000000000001</v>
      </c>
      <c r="M117" s="11">
        <f>IFERROR(100/'Skjema total MA'!I117*K117,0)</f>
        <v>1.3030201715253227</v>
      </c>
      <c r="O117" s="145"/>
    </row>
    <row r="118" spans="1:15" x14ac:dyDescent="0.2">
      <c r="A118" s="19" t="s">
        <v>9</v>
      </c>
      <c r="B118" s="232">
        <v>4348</v>
      </c>
      <c r="C118" s="142">
        <v>14498</v>
      </c>
      <c r="D118" s="163">
        <f t="shared" si="5"/>
        <v>233.4</v>
      </c>
      <c r="E118" s="25">
        <f>IFERROR(100/'Skjema total MA'!C118*C118,0)</f>
        <v>4.1800460993371118</v>
      </c>
      <c r="F118" s="232"/>
      <c r="G118" s="142"/>
      <c r="H118" s="163"/>
      <c r="I118" s="25"/>
      <c r="J118" s="282">
        <f t="shared" si="6"/>
        <v>4348</v>
      </c>
      <c r="K118" s="42">
        <f t="shared" si="6"/>
        <v>14498</v>
      </c>
      <c r="L118" s="253">
        <f t="shared" si="7"/>
        <v>233.4</v>
      </c>
      <c r="M118" s="25">
        <f>IFERROR(100/'Skjema total MA'!I118*K118,0)</f>
        <v>4.1800460993371118</v>
      </c>
      <c r="O118" s="145"/>
    </row>
    <row r="119" spans="1:15" x14ac:dyDescent="0.2">
      <c r="A119" s="19" t="s">
        <v>10</v>
      </c>
      <c r="B119" s="232"/>
      <c r="C119" s="142"/>
      <c r="D119" s="163"/>
      <c r="E119" s="25"/>
      <c r="F119" s="232">
        <v>38550</v>
      </c>
      <c r="G119" s="142">
        <v>97170</v>
      </c>
      <c r="H119" s="163">
        <f t="shared" si="8"/>
        <v>152.1</v>
      </c>
      <c r="I119" s="25">
        <f>IFERROR(100/'Skjema total MA'!F119*G119,0)</f>
        <v>1.186042668380616</v>
      </c>
      <c r="J119" s="282">
        <f t="shared" si="6"/>
        <v>38550</v>
      </c>
      <c r="K119" s="42">
        <f t="shared" si="6"/>
        <v>97170</v>
      </c>
      <c r="L119" s="253">
        <f t="shared" si="7"/>
        <v>152.1</v>
      </c>
      <c r="M119" s="25">
        <f>IFERROR(100/'Skjema total MA'!I119*K119,0)</f>
        <v>1.1826926133814972</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v>6820</v>
      </c>
      <c r="G123" s="232">
        <v>8873</v>
      </c>
      <c r="H123" s="163">
        <f t="shared" si="8"/>
        <v>30.1</v>
      </c>
      <c r="I123" s="25">
        <f>IFERROR(100/'Skjema total MA'!F123*G123,0)</f>
        <v>0.59806275595669656</v>
      </c>
      <c r="J123" s="282">
        <f t="shared" si="6"/>
        <v>6820</v>
      </c>
      <c r="K123" s="42">
        <f t="shared" si="6"/>
        <v>8873</v>
      </c>
      <c r="L123" s="253">
        <f t="shared" si="7"/>
        <v>30.1</v>
      </c>
      <c r="M123" s="25">
        <f>IFERROR(100/'Skjema total MA'!I123*K123,0)</f>
        <v>0.5965309169418227</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000" priority="142">
      <formula>kvartal &lt; 4</formula>
    </cfRule>
  </conditionalFormatting>
  <conditionalFormatting sqref="B29">
    <cfRule type="expression" dxfId="999" priority="140">
      <formula>kvartal &lt; 4</formula>
    </cfRule>
  </conditionalFormatting>
  <conditionalFormatting sqref="B30">
    <cfRule type="expression" dxfId="998" priority="139">
      <formula>kvartal &lt; 4</formula>
    </cfRule>
  </conditionalFormatting>
  <conditionalFormatting sqref="B31">
    <cfRule type="expression" dxfId="997" priority="138">
      <formula>kvartal &lt; 4</formula>
    </cfRule>
  </conditionalFormatting>
  <conditionalFormatting sqref="C29">
    <cfRule type="expression" dxfId="996" priority="137">
      <formula>kvartal &lt; 4</formula>
    </cfRule>
  </conditionalFormatting>
  <conditionalFormatting sqref="C30">
    <cfRule type="expression" dxfId="995" priority="136">
      <formula>kvartal &lt; 4</formula>
    </cfRule>
  </conditionalFormatting>
  <conditionalFormatting sqref="C31">
    <cfRule type="expression" dxfId="994" priority="135">
      <formula>kvartal &lt; 4</formula>
    </cfRule>
  </conditionalFormatting>
  <conditionalFormatting sqref="B23:C25">
    <cfRule type="expression" dxfId="993" priority="134">
      <formula>kvartal &lt; 4</formula>
    </cfRule>
  </conditionalFormatting>
  <conditionalFormatting sqref="F23:G25">
    <cfRule type="expression" dxfId="992" priority="130">
      <formula>kvartal &lt; 4</formula>
    </cfRule>
  </conditionalFormatting>
  <conditionalFormatting sqref="F29">
    <cfRule type="expression" dxfId="991" priority="123">
      <formula>kvartal &lt; 4</formula>
    </cfRule>
  </conditionalFormatting>
  <conditionalFormatting sqref="F30">
    <cfRule type="expression" dxfId="990" priority="122">
      <formula>kvartal &lt; 4</formula>
    </cfRule>
  </conditionalFormatting>
  <conditionalFormatting sqref="F31">
    <cfRule type="expression" dxfId="989" priority="121">
      <formula>kvartal &lt; 4</formula>
    </cfRule>
  </conditionalFormatting>
  <conditionalFormatting sqref="G29">
    <cfRule type="expression" dxfId="988" priority="120">
      <formula>kvartal &lt; 4</formula>
    </cfRule>
  </conditionalFormatting>
  <conditionalFormatting sqref="G30">
    <cfRule type="expression" dxfId="987" priority="119">
      <formula>kvartal &lt; 4</formula>
    </cfRule>
  </conditionalFormatting>
  <conditionalFormatting sqref="G31">
    <cfRule type="expression" dxfId="986" priority="118">
      <formula>kvartal &lt; 4</formula>
    </cfRule>
  </conditionalFormatting>
  <conditionalFormatting sqref="B26">
    <cfRule type="expression" dxfId="985" priority="117">
      <formula>kvartal &lt; 4</formula>
    </cfRule>
  </conditionalFormatting>
  <conditionalFormatting sqref="C26">
    <cfRule type="expression" dxfId="984" priority="116">
      <formula>kvartal &lt; 4</formula>
    </cfRule>
  </conditionalFormatting>
  <conditionalFormatting sqref="F26">
    <cfRule type="expression" dxfId="983" priority="115">
      <formula>kvartal &lt; 4</formula>
    </cfRule>
  </conditionalFormatting>
  <conditionalFormatting sqref="G26">
    <cfRule type="expression" dxfId="982" priority="114">
      <formula>kvartal &lt; 4</formula>
    </cfRule>
  </conditionalFormatting>
  <conditionalFormatting sqref="J23:K26">
    <cfRule type="expression" dxfId="981" priority="113">
      <formula>kvartal &lt; 4</formula>
    </cfRule>
  </conditionalFormatting>
  <conditionalFormatting sqref="J29:K31">
    <cfRule type="expression" dxfId="980" priority="111">
      <formula>kvartal &lt; 4</formula>
    </cfRule>
  </conditionalFormatting>
  <conditionalFormatting sqref="B67">
    <cfRule type="expression" dxfId="979" priority="110">
      <formula>kvartal &lt; 4</formula>
    </cfRule>
  </conditionalFormatting>
  <conditionalFormatting sqref="C67">
    <cfRule type="expression" dxfId="978" priority="109">
      <formula>kvartal &lt; 4</formula>
    </cfRule>
  </conditionalFormatting>
  <conditionalFormatting sqref="B70">
    <cfRule type="expression" dxfId="977" priority="108">
      <formula>kvartal &lt; 4</formula>
    </cfRule>
  </conditionalFormatting>
  <conditionalFormatting sqref="C70">
    <cfRule type="expression" dxfId="976" priority="107">
      <formula>kvartal &lt; 4</formula>
    </cfRule>
  </conditionalFormatting>
  <conditionalFormatting sqref="B78">
    <cfRule type="expression" dxfId="975" priority="106">
      <formula>kvartal &lt; 4</formula>
    </cfRule>
  </conditionalFormatting>
  <conditionalFormatting sqref="C78">
    <cfRule type="expression" dxfId="974" priority="105">
      <formula>kvartal &lt; 4</formula>
    </cfRule>
  </conditionalFormatting>
  <conditionalFormatting sqref="B81">
    <cfRule type="expression" dxfId="973" priority="104">
      <formula>kvartal &lt; 4</formula>
    </cfRule>
  </conditionalFormatting>
  <conditionalFormatting sqref="C81">
    <cfRule type="expression" dxfId="972" priority="103">
      <formula>kvartal &lt; 4</formula>
    </cfRule>
  </conditionalFormatting>
  <conditionalFormatting sqref="B88">
    <cfRule type="expression" dxfId="971" priority="94">
      <formula>kvartal &lt; 4</formula>
    </cfRule>
  </conditionalFormatting>
  <conditionalFormatting sqref="C88">
    <cfRule type="expression" dxfId="970" priority="93">
      <formula>kvartal &lt; 4</formula>
    </cfRule>
  </conditionalFormatting>
  <conditionalFormatting sqref="B91">
    <cfRule type="expression" dxfId="969" priority="92">
      <formula>kvartal &lt; 4</formula>
    </cfRule>
  </conditionalFormatting>
  <conditionalFormatting sqref="C91">
    <cfRule type="expression" dxfId="968" priority="91">
      <formula>kvartal &lt; 4</formula>
    </cfRule>
  </conditionalFormatting>
  <conditionalFormatting sqref="B99">
    <cfRule type="expression" dxfId="967" priority="90">
      <formula>kvartal &lt; 4</formula>
    </cfRule>
  </conditionalFormatting>
  <conditionalFormatting sqref="C99">
    <cfRule type="expression" dxfId="966" priority="89">
      <formula>kvartal &lt; 4</formula>
    </cfRule>
  </conditionalFormatting>
  <conditionalFormatting sqref="B102">
    <cfRule type="expression" dxfId="965" priority="88">
      <formula>kvartal &lt; 4</formula>
    </cfRule>
  </conditionalFormatting>
  <conditionalFormatting sqref="C102">
    <cfRule type="expression" dxfId="964" priority="87">
      <formula>kvartal &lt; 4</formula>
    </cfRule>
  </conditionalFormatting>
  <conditionalFormatting sqref="B113">
    <cfRule type="expression" dxfId="963" priority="86">
      <formula>kvartal &lt; 4</formula>
    </cfRule>
  </conditionalFormatting>
  <conditionalFormatting sqref="C113">
    <cfRule type="expression" dxfId="962" priority="85">
      <formula>kvartal &lt; 4</formula>
    </cfRule>
  </conditionalFormatting>
  <conditionalFormatting sqref="B121">
    <cfRule type="expression" dxfId="961" priority="84">
      <formula>kvartal &lt; 4</formula>
    </cfRule>
  </conditionalFormatting>
  <conditionalFormatting sqref="C121">
    <cfRule type="expression" dxfId="960" priority="83">
      <formula>kvartal &lt; 4</formula>
    </cfRule>
  </conditionalFormatting>
  <conditionalFormatting sqref="F68">
    <cfRule type="expression" dxfId="959" priority="82">
      <formula>kvartal &lt; 4</formula>
    </cfRule>
  </conditionalFormatting>
  <conditionalFormatting sqref="G68">
    <cfRule type="expression" dxfId="958" priority="81">
      <formula>kvartal &lt; 4</formula>
    </cfRule>
  </conditionalFormatting>
  <conditionalFormatting sqref="F69:G69">
    <cfRule type="expression" dxfId="957" priority="80">
      <formula>kvartal &lt; 4</formula>
    </cfRule>
  </conditionalFormatting>
  <conditionalFormatting sqref="F71:G72">
    <cfRule type="expression" dxfId="956" priority="79">
      <formula>kvartal &lt; 4</formula>
    </cfRule>
  </conditionalFormatting>
  <conditionalFormatting sqref="F79:G80">
    <cfRule type="expression" dxfId="955" priority="78">
      <formula>kvartal &lt; 4</formula>
    </cfRule>
  </conditionalFormatting>
  <conditionalFormatting sqref="F82:G83">
    <cfRule type="expression" dxfId="954" priority="77">
      <formula>kvartal &lt; 4</formula>
    </cfRule>
  </conditionalFormatting>
  <conditionalFormatting sqref="F89:G90">
    <cfRule type="expression" dxfId="953" priority="72">
      <formula>kvartal &lt; 4</formula>
    </cfRule>
  </conditionalFormatting>
  <conditionalFormatting sqref="F92:G93">
    <cfRule type="expression" dxfId="952" priority="71">
      <formula>kvartal &lt; 4</formula>
    </cfRule>
  </conditionalFormatting>
  <conditionalFormatting sqref="F100:G101">
    <cfRule type="expression" dxfId="951" priority="70">
      <formula>kvartal &lt; 4</formula>
    </cfRule>
  </conditionalFormatting>
  <conditionalFormatting sqref="F103:G104">
    <cfRule type="expression" dxfId="950" priority="69">
      <formula>kvartal &lt; 4</formula>
    </cfRule>
  </conditionalFormatting>
  <conditionalFormatting sqref="F113">
    <cfRule type="expression" dxfId="949" priority="68">
      <formula>kvartal &lt; 4</formula>
    </cfRule>
  </conditionalFormatting>
  <conditionalFormatting sqref="G113">
    <cfRule type="expression" dxfId="948" priority="67">
      <formula>kvartal &lt; 4</formula>
    </cfRule>
  </conditionalFormatting>
  <conditionalFormatting sqref="F121:G121">
    <cfRule type="expression" dxfId="947" priority="66">
      <formula>kvartal &lt; 4</formula>
    </cfRule>
  </conditionalFormatting>
  <conditionalFormatting sqref="F67:G67">
    <cfRule type="expression" dxfId="946" priority="65">
      <formula>kvartal &lt; 4</formula>
    </cfRule>
  </conditionalFormatting>
  <conditionalFormatting sqref="F70:G70">
    <cfRule type="expression" dxfId="945" priority="64">
      <formula>kvartal &lt; 4</formula>
    </cfRule>
  </conditionalFormatting>
  <conditionalFormatting sqref="F78:G78">
    <cfRule type="expression" dxfId="944" priority="63">
      <formula>kvartal &lt; 4</formula>
    </cfRule>
  </conditionalFormatting>
  <conditionalFormatting sqref="F81:G81">
    <cfRule type="expression" dxfId="943" priority="62">
      <formula>kvartal &lt; 4</formula>
    </cfRule>
  </conditionalFormatting>
  <conditionalFormatting sqref="F88:G88">
    <cfRule type="expression" dxfId="942" priority="56">
      <formula>kvartal &lt; 4</formula>
    </cfRule>
  </conditionalFormatting>
  <conditionalFormatting sqref="F91">
    <cfRule type="expression" dxfId="941" priority="55">
      <formula>kvartal &lt; 4</formula>
    </cfRule>
  </conditionalFormatting>
  <conditionalFormatting sqref="G91">
    <cfRule type="expression" dxfId="940" priority="54">
      <formula>kvartal &lt; 4</formula>
    </cfRule>
  </conditionalFormatting>
  <conditionalFormatting sqref="F99">
    <cfRule type="expression" dxfId="939" priority="53">
      <formula>kvartal &lt; 4</formula>
    </cfRule>
  </conditionalFormatting>
  <conditionalFormatting sqref="G99">
    <cfRule type="expression" dxfId="938" priority="52">
      <formula>kvartal &lt; 4</formula>
    </cfRule>
  </conditionalFormatting>
  <conditionalFormatting sqref="G102">
    <cfRule type="expression" dxfId="937" priority="51">
      <formula>kvartal &lt; 4</formula>
    </cfRule>
  </conditionalFormatting>
  <conditionalFormatting sqref="F102">
    <cfRule type="expression" dxfId="936" priority="50">
      <formula>kvartal &lt; 4</formula>
    </cfRule>
  </conditionalFormatting>
  <conditionalFormatting sqref="J67:K71">
    <cfRule type="expression" dxfId="935" priority="49">
      <formula>kvartal &lt; 4</formula>
    </cfRule>
  </conditionalFormatting>
  <conditionalFormatting sqref="J72:K72">
    <cfRule type="expression" dxfId="934" priority="48">
      <formula>kvartal &lt; 4</formula>
    </cfRule>
  </conditionalFormatting>
  <conditionalFormatting sqref="J78:K83">
    <cfRule type="expression" dxfId="933" priority="47">
      <formula>kvartal &lt; 4</formula>
    </cfRule>
  </conditionalFormatting>
  <conditionalFormatting sqref="J88:K93">
    <cfRule type="expression" dxfId="932" priority="44">
      <formula>kvartal &lt; 4</formula>
    </cfRule>
  </conditionalFormatting>
  <conditionalFormatting sqref="J99:K104">
    <cfRule type="expression" dxfId="931" priority="43">
      <formula>kvartal &lt; 4</formula>
    </cfRule>
  </conditionalFormatting>
  <conditionalFormatting sqref="J113:K113">
    <cfRule type="expression" dxfId="930" priority="42">
      <formula>kvartal &lt; 4</formula>
    </cfRule>
  </conditionalFormatting>
  <conditionalFormatting sqref="J121:K121">
    <cfRule type="expression" dxfId="929" priority="41">
      <formula>kvartal &lt; 4</formula>
    </cfRule>
  </conditionalFormatting>
  <conditionalFormatting sqref="A23:A25">
    <cfRule type="expression" dxfId="928" priority="10">
      <formula>kvartal &lt; 4</formula>
    </cfRule>
  </conditionalFormatting>
  <conditionalFormatting sqref="A48:A50">
    <cfRule type="expression" dxfId="927" priority="9">
      <formula>kvartal &lt; 4</formula>
    </cfRule>
  </conditionalFormatting>
  <conditionalFormatting sqref="A67:A72">
    <cfRule type="expression" dxfId="926" priority="8">
      <formula>kvartal &lt; 4</formula>
    </cfRule>
  </conditionalFormatting>
  <conditionalFormatting sqref="A113">
    <cfRule type="expression" dxfId="925" priority="7">
      <formula>kvartal &lt; 4</formula>
    </cfRule>
  </conditionalFormatting>
  <conditionalFormatting sqref="A121">
    <cfRule type="expression" dxfId="924" priority="6">
      <formula>kvartal &lt; 4</formula>
    </cfRule>
  </conditionalFormatting>
  <conditionalFormatting sqref="A26">
    <cfRule type="expression" dxfId="923" priority="5">
      <formula>kvartal &lt; 4</formula>
    </cfRule>
  </conditionalFormatting>
  <conditionalFormatting sqref="A29:A31">
    <cfRule type="expression" dxfId="922" priority="4">
      <formula>kvartal &lt; 4</formula>
    </cfRule>
  </conditionalFormatting>
  <conditionalFormatting sqref="A78:A83">
    <cfRule type="expression" dxfId="921" priority="3">
      <formula>kvartal &lt; 4</formula>
    </cfRule>
  </conditionalFormatting>
  <conditionalFormatting sqref="A88:A93">
    <cfRule type="expression" dxfId="920" priority="2">
      <formula>kvartal &lt; 4</formula>
    </cfRule>
  </conditionalFormatting>
  <conditionalFormatting sqref="A99:A104">
    <cfRule type="expression" dxfId="919" priority="1">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58"/>
  <sheetViews>
    <sheetView showGridLines="0" tabSelected="1" zoomScale="70" zoomScaleNormal="70" workbookViewId="0">
      <selection activeCell="A3" sqref="A3"/>
    </sheetView>
  </sheetViews>
  <sheetFormatPr baseColWidth="10" defaultColWidth="11.42578125" defaultRowHeight="25.5" x14ac:dyDescent="0.35"/>
  <cols>
    <col min="1" max="1" width="11.42578125" style="65"/>
    <col min="2" max="2" width="25" style="65" customWidth="1"/>
    <col min="3" max="3" width="141.7109375" style="65" customWidth="1"/>
    <col min="4" max="16384" width="11.42578125" style="65"/>
  </cols>
  <sheetData>
    <row r="1" spans="1:14" ht="20.100000000000001" customHeight="1" x14ac:dyDescent="0.35">
      <c r="C1" s="66"/>
      <c r="D1" s="67"/>
      <c r="E1" s="67"/>
      <c r="F1" s="67"/>
      <c r="G1" s="67"/>
      <c r="H1" s="67"/>
      <c r="I1" s="67"/>
      <c r="J1" s="67"/>
      <c r="K1" s="67"/>
      <c r="L1" s="67"/>
      <c r="M1" s="67"/>
      <c r="N1" s="67"/>
    </row>
    <row r="2" spans="1:14" ht="20.100000000000001" customHeight="1" x14ac:dyDescent="0.35">
      <c r="C2" s="272" t="s">
        <v>32</v>
      </c>
      <c r="D2" s="67"/>
      <c r="E2" s="67"/>
      <c r="F2" s="67"/>
      <c r="G2" s="67"/>
      <c r="H2" s="67"/>
      <c r="I2" s="67"/>
      <c r="J2" s="67"/>
      <c r="K2" s="67"/>
      <c r="L2" s="67"/>
      <c r="M2" s="67"/>
      <c r="N2" s="67"/>
    </row>
    <row r="3" spans="1:14" ht="20.100000000000001" customHeight="1" x14ac:dyDescent="0.35">
      <c r="C3" s="68"/>
      <c r="D3" s="67"/>
      <c r="E3" s="67"/>
      <c r="F3" s="67"/>
      <c r="G3" s="67"/>
      <c r="H3" s="67"/>
      <c r="I3" s="67"/>
      <c r="J3" s="67"/>
      <c r="K3" s="67"/>
      <c r="L3" s="67"/>
      <c r="M3" s="67"/>
      <c r="N3" s="67"/>
    </row>
    <row r="4" spans="1:14" ht="20.100000000000001" customHeight="1" x14ac:dyDescent="0.35">
      <c r="C4" s="68"/>
      <c r="D4" s="67"/>
      <c r="E4" s="67"/>
      <c r="F4" s="67"/>
      <c r="G4" s="67"/>
      <c r="H4" s="67"/>
      <c r="I4" s="67"/>
      <c r="J4" s="67"/>
      <c r="K4" s="67"/>
      <c r="L4" s="67"/>
      <c r="M4" s="67"/>
      <c r="N4" s="67"/>
    </row>
    <row r="5" spans="1:14" ht="20.100000000000001" customHeight="1" x14ac:dyDescent="0.35">
      <c r="A5" s="68"/>
      <c r="B5" s="68"/>
      <c r="C5" s="68"/>
      <c r="D5" s="67"/>
      <c r="E5" s="67"/>
      <c r="F5" s="67"/>
      <c r="G5" s="67"/>
      <c r="H5" s="67"/>
      <c r="I5" s="67"/>
      <c r="J5" s="67"/>
      <c r="K5" s="67"/>
      <c r="L5" s="67"/>
      <c r="M5" s="67"/>
      <c r="N5" s="67"/>
    </row>
    <row r="6" spans="1:14" ht="20.100000000000001" customHeight="1" x14ac:dyDescent="0.35">
      <c r="A6" s="69" t="s">
        <v>33</v>
      </c>
      <c r="B6" s="69"/>
      <c r="C6" s="68"/>
      <c r="D6" s="67"/>
      <c r="E6" s="67"/>
      <c r="F6" s="67"/>
      <c r="G6" s="67"/>
      <c r="H6" s="67"/>
      <c r="I6" s="67"/>
      <c r="J6" s="67"/>
      <c r="K6" s="67"/>
      <c r="L6" s="67"/>
      <c r="M6" s="67"/>
      <c r="N6" s="67"/>
    </row>
    <row r="7" spans="1:14" ht="20.100000000000001" customHeight="1" x14ac:dyDescent="0.35">
      <c r="A7" s="68"/>
      <c r="B7" s="68" t="s">
        <v>34</v>
      </c>
      <c r="C7" s="68" t="s">
        <v>35</v>
      </c>
      <c r="D7" s="67"/>
      <c r="E7" s="67"/>
      <c r="F7" s="67"/>
      <c r="G7" s="67"/>
      <c r="H7" s="67"/>
      <c r="I7" s="67"/>
      <c r="J7" s="67"/>
      <c r="K7" s="67"/>
      <c r="L7" s="67"/>
      <c r="M7" s="67"/>
      <c r="N7" s="67"/>
    </row>
    <row r="8" spans="1:14" ht="20.100000000000001" customHeight="1" x14ac:dyDescent="0.35">
      <c r="A8" s="68"/>
      <c r="B8" s="68" t="s">
        <v>36</v>
      </c>
      <c r="C8" s="68" t="s">
        <v>37</v>
      </c>
      <c r="D8" s="67"/>
      <c r="E8" s="67"/>
      <c r="F8" s="67"/>
      <c r="G8" s="67"/>
      <c r="H8" s="67"/>
      <c r="I8" s="67"/>
      <c r="J8" s="67"/>
      <c r="K8" s="67"/>
      <c r="L8" s="67"/>
      <c r="M8" s="67"/>
      <c r="N8" s="67"/>
    </row>
    <row r="9" spans="1:14" ht="20.100000000000001" customHeight="1" x14ac:dyDescent="0.35">
      <c r="A9" s="68"/>
      <c r="B9" s="68" t="s">
        <v>38</v>
      </c>
      <c r="C9" s="68" t="s">
        <v>41</v>
      </c>
      <c r="D9" s="67"/>
      <c r="E9" s="67"/>
      <c r="F9" s="67"/>
      <c r="G9" s="67"/>
      <c r="H9" s="67"/>
      <c r="I9" s="67"/>
      <c r="J9" s="67"/>
      <c r="K9" s="67"/>
      <c r="L9" s="67"/>
      <c r="M9" s="67"/>
      <c r="N9" s="67"/>
    </row>
    <row r="10" spans="1:14" ht="20.100000000000001" customHeight="1" x14ac:dyDescent="0.35">
      <c r="A10" s="68"/>
      <c r="B10" s="68" t="s">
        <v>39</v>
      </c>
      <c r="C10" s="68" t="s">
        <v>43</v>
      </c>
      <c r="D10" s="67"/>
      <c r="E10" s="67"/>
      <c r="F10" s="67"/>
      <c r="G10" s="67"/>
      <c r="H10" s="67"/>
      <c r="I10" s="67"/>
      <c r="J10" s="67"/>
      <c r="K10" s="67"/>
      <c r="L10" s="67"/>
      <c r="M10" s="67"/>
      <c r="N10" s="67"/>
    </row>
    <row r="11" spans="1:14" ht="20.100000000000001" customHeight="1" x14ac:dyDescent="0.35">
      <c r="A11" s="68"/>
      <c r="B11" s="68" t="s">
        <v>40</v>
      </c>
      <c r="C11" s="68" t="s">
        <v>44</v>
      </c>
      <c r="D11" s="67"/>
      <c r="E11" s="67"/>
      <c r="F11" s="67"/>
      <c r="G11" s="67"/>
      <c r="H11" s="67"/>
      <c r="I11" s="67"/>
      <c r="J11" s="67"/>
      <c r="K11" s="67"/>
      <c r="L11" s="67"/>
      <c r="M11" s="67"/>
      <c r="N11" s="67"/>
    </row>
    <row r="12" spans="1:14" ht="20.100000000000001" customHeight="1" x14ac:dyDescent="0.35">
      <c r="A12" s="68"/>
      <c r="B12" s="68" t="s">
        <v>42</v>
      </c>
      <c r="C12" s="68" t="s">
        <v>45</v>
      </c>
      <c r="D12" s="67"/>
      <c r="E12" s="67"/>
      <c r="F12" s="67"/>
      <c r="G12" s="67"/>
      <c r="H12" s="67"/>
      <c r="I12" s="67"/>
      <c r="J12" s="67"/>
      <c r="K12" s="67"/>
      <c r="L12" s="67"/>
      <c r="M12" s="67"/>
      <c r="N12" s="67"/>
    </row>
    <row r="13" spans="1:14" ht="18.75" customHeight="1" x14ac:dyDescent="0.35">
      <c r="A13" s="68"/>
      <c r="B13" s="68"/>
      <c r="C13" s="68"/>
      <c r="D13" s="67"/>
      <c r="E13" s="67"/>
      <c r="F13" s="67"/>
      <c r="G13" s="67"/>
      <c r="H13" s="67"/>
      <c r="I13" s="67"/>
      <c r="J13" s="67"/>
      <c r="K13" s="67"/>
      <c r="L13" s="67"/>
      <c r="M13" s="67"/>
      <c r="N13" s="67"/>
    </row>
    <row r="14" spans="1:14" ht="20.100000000000001" customHeight="1" x14ac:dyDescent="0.35">
      <c r="A14" s="271" t="s">
        <v>46</v>
      </c>
      <c r="B14" s="69"/>
      <c r="C14" s="68"/>
      <c r="D14" s="67"/>
      <c r="E14" s="67"/>
      <c r="F14" s="67"/>
      <c r="G14" s="67"/>
      <c r="H14" s="67"/>
      <c r="I14" s="67"/>
      <c r="J14" s="67"/>
      <c r="K14" s="67"/>
      <c r="L14" s="67"/>
      <c r="M14" s="67"/>
      <c r="N14" s="67"/>
    </row>
    <row r="15" spans="1:14" ht="20.100000000000001" customHeight="1" x14ac:dyDescent="0.35">
      <c r="A15" s="68"/>
      <c r="B15" s="68" t="s">
        <v>47</v>
      </c>
      <c r="C15" s="68"/>
      <c r="D15" s="67"/>
      <c r="E15" s="67"/>
      <c r="F15" s="67"/>
      <c r="G15" s="67"/>
      <c r="H15" s="67"/>
      <c r="I15" s="67"/>
      <c r="J15" s="67"/>
      <c r="K15" s="67"/>
      <c r="L15" s="67"/>
      <c r="M15" s="67"/>
      <c r="N15" s="67"/>
    </row>
    <row r="16" spans="1:14" ht="20.100000000000001" customHeight="1" x14ac:dyDescent="0.35">
      <c r="A16" s="68"/>
      <c r="B16" s="69" t="s">
        <v>48</v>
      </c>
      <c r="C16" s="68" t="s">
        <v>49</v>
      </c>
      <c r="D16" s="67"/>
      <c r="E16" s="67"/>
      <c r="F16" s="67"/>
      <c r="G16" s="67"/>
      <c r="H16" s="67"/>
      <c r="I16" s="67"/>
      <c r="J16" s="67"/>
      <c r="K16" s="67"/>
      <c r="L16" s="67"/>
      <c r="M16" s="67"/>
      <c r="N16" s="67"/>
    </row>
    <row r="17" spans="1:14" ht="20.100000000000001" customHeight="1" x14ac:dyDescent="0.35">
      <c r="A17" s="68"/>
      <c r="B17" s="69" t="s">
        <v>50</v>
      </c>
      <c r="C17" s="68" t="s">
        <v>51</v>
      </c>
      <c r="D17" s="67"/>
      <c r="E17" s="67"/>
      <c r="F17" s="67"/>
      <c r="G17" s="67"/>
      <c r="H17" s="67"/>
      <c r="I17" s="67"/>
      <c r="J17" s="67"/>
      <c r="K17" s="67"/>
      <c r="L17" s="67"/>
      <c r="M17" s="67"/>
      <c r="N17" s="67"/>
    </row>
    <row r="18" spans="1:14" ht="20.100000000000001" customHeight="1" x14ac:dyDescent="0.35">
      <c r="A18" s="68"/>
      <c r="B18" s="69" t="s">
        <v>359</v>
      </c>
      <c r="C18" s="68" t="s">
        <v>360</v>
      </c>
      <c r="D18" s="67"/>
      <c r="E18" s="67"/>
      <c r="F18" s="67"/>
      <c r="G18" s="67"/>
      <c r="H18" s="67"/>
      <c r="I18" s="67"/>
      <c r="J18" s="67"/>
      <c r="K18" s="67"/>
      <c r="L18" s="67"/>
      <c r="M18" s="67"/>
      <c r="N18" s="67"/>
    </row>
    <row r="19" spans="1:14" ht="20.100000000000001" customHeight="1" x14ac:dyDescent="0.35">
      <c r="A19" s="68"/>
      <c r="B19" s="68" t="s">
        <v>361</v>
      </c>
      <c r="C19" s="68" t="s">
        <v>288</v>
      </c>
      <c r="D19" s="67"/>
      <c r="E19" s="67"/>
      <c r="F19" s="67"/>
      <c r="G19" s="67"/>
      <c r="H19" s="67"/>
      <c r="I19" s="67"/>
      <c r="J19" s="67"/>
      <c r="K19" s="67"/>
      <c r="L19" s="67"/>
      <c r="M19" s="67"/>
      <c r="N19" s="67"/>
    </row>
    <row r="20" spans="1:14" s="334" customFormat="1" ht="20.100000000000001" customHeight="1" x14ac:dyDescent="0.35">
      <c r="A20" s="332"/>
      <c r="B20" s="332" t="s">
        <v>363</v>
      </c>
      <c r="C20" s="332" t="s">
        <v>362</v>
      </c>
      <c r="D20" s="333"/>
      <c r="E20" s="333"/>
      <c r="F20" s="333"/>
      <c r="G20" s="333"/>
      <c r="H20" s="333"/>
      <c r="I20" s="333"/>
      <c r="J20" s="333"/>
      <c r="K20" s="333"/>
      <c r="L20" s="333"/>
      <c r="M20" s="333"/>
      <c r="N20" s="333"/>
    </row>
    <row r="21" spans="1:14" ht="20.100000000000001" customHeight="1" x14ac:dyDescent="0.35">
      <c r="A21" s="68"/>
      <c r="B21" s="68"/>
      <c r="C21" s="68"/>
    </row>
    <row r="22" spans="1:14" ht="18.75" customHeight="1" x14ac:dyDescent="0.35">
      <c r="A22" s="68"/>
      <c r="B22" s="332" t="s">
        <v>272</v>
      </c>
      <c r="C22" s="332"/>
    </row>
    <row r="23" spans="1:14" ht="20.100000000000001" customHeight="1" x14ac:dyDescent="0.35">
      <c r="A23" s="68"/>
      <c r="B23" s="335" t="s">
        <v>273</v>
      </c>
      <c r="C23" s="332" t="s">
        <v>274</v>
      </c>
    </row>
    <row r="24" spans="1:14" ht="20.100000000000001" hidden="1" customHeight="1" x14ac:dyDescent="0.35">
      <c r="A24" s="68"/>
      <c r="B24" s="335" t="s">
        <v>275</v>
      </c>
      <c r="C24" s="332" t="s">
        <v>276</v>
      </c>
    </row>
    <row r="25" spans="1:14" ht="20.100000000000001" hidden="1" customHeight="1" x14ac:dyDescent="0.35">
      <c r="A25" s="68"/>
      <c r="B25" s="335" t="s">
        <v>277</v>
      </c>
      <c r="C25" s="332" t="s">
        <v>278</v>
      </c>
    </row>
    <row r="26" spans="1:14" ht="20.100000000000001" hidden="1" customHeight="1" x14ac:dyDescent="0.35">
      <c r="A26" s="68"/>
      <c r="B26" s="335" t="s">
        <v>279</v>
      </c>
      <c r="C26" s="332" t="s">
        <v>280</v>
      </c>
    </row>
    <row r="27" spans="1:14" ht="20.100000000000001" customHeight="1" x14ac:dyDescent="0.35">
      <c r="A27" s="68"/>
      <c r="B27" s="335" t="s">
        <v>188</v>
      </c>
      <c r="C27" s="332" t="s">
        <v>281</v>
      </c>
    </row>
    <row r="28" spans="1:14" ht="20.100000000000001" hidden="1" customHeight="1" x14ac:dyDescent="0.35">
      <c r="A28" s="68"/>
      <c r="B28" s="329" t="s">
        <v>282</v>
      </c>
      <c r="C28" s="270" t="s">
        <v>283</v>
      </c>
    </row>
    <row r="29" spans="1:14" ht="20.100000000000001" hidden="1" customHeight="1" x14ac:dyDescent="0.35">
      <c r="A29" s="68"/>
      <c r="B29" s="329" t="s">
        <v>284</v>
      </c>
      <c r="C29" s="270" t="s">
        <v>285</v>
      </c>
    </row>
    <row r="30" spans="1:14" ht="18.75" customHeight="1" x14ac:dyDescent="0.35">
      <c r="A30" s="68"/>
      <c r="B30" s="335" t="s">
        <v>286</v>
      </c>
      <c r="C30" s="332" t="s">
        <v>287</v>
      </c>
    </row>
    <row r="31" spans="1:14" ht="18.75" customHeight="1" x14ac:dyDescent="0.35">
      <c r="A31" s="68"/>
      <c r="B31" s="335"/>
      <c r="C31" s="332"/>
    </row>
    <row r="32" spans="1:14" ht="20.100000000000001" customHeight="1" x14ac:dyDescent="0.35">
      <c r="A32" s="68"/>
      <c r="B32" s="68"/>
      <c r="C32" s="68"/>
    </row>
    <row r="33" spans="1:14" x14ac:dyDescent="0.35">
      <c r="A33" s="69" t="s">
        <v>52</v>
      </c>
      <c r="B33" s="68"/>
      <c r="C33" s="68"/>
    </row>
    <row r="34" spans="1:14" ht="26.25" hidden="1" customHeight="1" x14ac:dyDescent="0.4">
      <c r="C34" s="70"/>
    </row>
    <row r="35" spans="1:14" ht="26.25" hidden="1" customHeight="1" x14ac:dyDescent="0.4">
      <c r="C35" s="70"/>
    </row>
    <row r="36" spans="1:14" ht="18.75" customHeight="1" x14ac:dyDescent="0.4">
      <c r="C36" s="330"/>
      <c r="D36" s="331"/>
    </row>
    <row r="37" spans="1:14" ht="26.25" x14ac:dyDescent="0.4">
      <c r="C37" s="70"/>
    </row>
    <row r="38" spans="1:14" ht="26.25" x14ac:dyDescent="0.4">
      <c r="C38" s="70"/>
    </row>
    <row r="39" spans="1:14" ht="26.25" x14ac:dyDescent="0.4">
      <c r="C39" s="330"/>
      <c r="D39" s="334"/>
      <c r="E39" s="334"/>
      <c r="F39" s="334"/>
      <c r="G39" s="334"/>
      <c r="H39" s="334"/>
      <c r="I39" s="334"/>
      <c r="J39" s="334"/>
      <c r="K39" s="334"/>
      <c r="L39" s="334"/>
      <c r="M39" s="334"/>
      <c r="N39" s="334"/>
    </row>
    <row r="40" spans="1:14" ht="26.25" x14ac:dyDescent="0.4">
      <c r="C40" s="70"/>
    </row>
    <row r="41" spans="1:14" ht="26.25" x14ac:dyDescent="0.4">
      <c r="C41" s="70"/>
    </row>
    <row r="42" spans="1:14" ht="26.25" x14ac:dyDescent="0.4">
      <c r="C42" s="70"/>
    </row>
    <row r="43" spans="1:14" ht="26.25" x14ac:dyDescent="0.4">
      <c r="C43" s="70"/>
    </row>
    <row r="44" spans="1:14" ht="26.25" x14ac:dyDescent="0.4">
      <c r="C44" s="70"/>
    </row>
    <row r="45" spans="1:14" ht="26.25" x14ac:dyDescent="0.4">
      <c r="C45" s="70"/>
    </row>
    <row r="46" spans="1:14" ht="26.25" x14ac:dyDescent="0.4">
      <c r="C46" s="70"/>
    </row>
    <row r="47" spans="1:14" ht="26.25" x14ac:dyDescent="0.4">
      <c r="C47" s="70"/>
    </row>
    <row r="48" spans="1:14" ht="26.25" x14ac:dyDescent="0.4">
      <c r="C48" s="70"/>
    </row>
    <row r="49" spans="3:3" ht="26.25" x14ac:dyDescent="0.4">
      <c r="C49" s="70"/>
    </row>
    <row r="50" spans="3:3" ht="26.25" x14ac:dyDescent="0.4">
      <c r="C50" s="70"/>
    </row>
    <row r="51" spans="3:3" ht="26.25" x14ac:dyDescent="0.4">
      <c r="C51" s="70"/>
    </row>
    <row r="52" spans="3:3" ht="26.25" x14ac:dyDescent="0.4">
      <c r="C52" s="70"/>
    </row>
    <row r="53" spans="3:3" ht="26.25" x14ac:dyDescent="0.4">
      <c r="C53" s="70"/>
    </row>
    <row r="54" spans="3:3" ht="26.25" x14ac:dyDescent="0.4">
      <c r="C54" s="70"/>
    </row>
    <row r="55" spans="3:3" ht="26.25" x14ac:dyDescent="0.4">
      <c r="C55" s="70"/>
    </row>
    <row r="56" spans="3:3" ht="26.25" x14ac:dyDescent="0.4">
      <c r="C56" s="70"/>
    </row>
    <row r="57" spans="3:3" ht="26.25" x14ac:dyDescent="0.4">
      <c r="C57" s="70"/>
    </row>
    <row r="58" spans="3:3" ht="26.25" x14ac:dyDescent="0.4">
      <c r="C58" s="70"/>
    </row>
  </sheetData>
  <hyperlinks>
    <hyperlink ref="A6" location="Figurer!A1" display="FIGURER"/>
    <hyperlink ref="A14" location="'Tabel 1.1'!A1" display="TABELLER"/>
    <hyperlink ref="B16" location="'Tabell 1.1'!A1" display="Tabell 1.1"/>
    <hyperlink ref="B17" location="'Tabell 1.2'!A1" display="Tabell 1.2"/>
    <hyperlink ref="A33" location="'Noter og kommentarer'!A1" display="NOTER OG KOMMENTARER"/>
    <hyperlink ref="B23" location="'Tabell 4'!A1" display="Tabell 4"/>
    <hyperlink ref="B27" location="'Tabell 6'!A1" display="Tabell 6"/>
    <hyperlink ref="B30" location="'Tabell 8'!A1" display="Tabell 8"/>
    <hyperlink ref="B24" location="'Tabell 5.1'!A1" display="Tabell 5.1"/>
    <hyperlink ref="B25" location="'Tabell 5.2'!A1" display="Tabell 5.2"/>
    <hyperlink ref="B26" location="'Tabell 5.3'!A1" display="Tabell 5.3"/>
    <hyperlink ref="B28" location="'Tabell 7a'!A1" display="Tabell 7a"/>
    <hyperlink ref="B29"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149</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1045</v>
      </c>
      <c r="C7" s="296">
        <v>1867.1790000000001</v>
      </c>
      <c r="D7" s="336">
        <f t="shared" ref="D7:D10" si="0">IF(B7=0, "    ---- ", IF(ABS(ROUND(100/B7*C7-100,1))&lt;999,ROUND(100/B7*C7-100,1),IF(ROUND(100/B7*C7-100,1)&gt;999,999,-999)))</f>
        <v>78.7</v>
      </c>
      <c r="E7" s="11">
        <f>IFERROR(100/'Skjema total MA'!C7*C7,0)</f>
        <v>5.102520024264464E-2</v>
      </c>
      <c r="F7" s="295"/>
      <c r="G7" s="296"/>
      <c r="H7" s="336"/>
      <c r="I7" s="157"/>
      <c r="J7" s="297">
        <f t="shared" ref="J7:K10" si="1">SUM(B7,F7)</f>
        <v>1045</v>
      </c>
      <c r="K7" s="298">
        <f t="shared" si="1"/>
        <v>1867.1790000000001</v>
      </c>
      <c r="L7" s="410">
        <f>IF(J7=0, "    ---- ", IF(ABS(ROUND(100/J7*K7-100,1))&lt;999,ROUND(100/J7*K7-100,1),IF(ROUND(100/J7*K7-100,1)&gt;999,999,-999)))</f>
        <v>78.7</v>
      </c>
      <c r="M7" s="11">
        <f>IFERROR(100/'Skjema total MA'!I7*K7,0)</f>
        <v>1.8702749784234467E-2</v>
      </c>
      <c r="O7" s="145"/>
    </row>
    <row r="8" spans="1:15" ht="15.75" x14ac:dyDescent="0.2">
      <c r="A8" s="19" t="s">
        <v>26</v>
      </c>
      <c r="B8" s="278">
        <v>28</v>
      </c>
      <c r="C8" s="279">
        <v>1723.404</v>
      </c>
      <c r="D8" s="163">
        <f t="shared" si="0"/>
        <v>999</v>
      </c>
      <c r="E8" s="25">
        <f>IFERROR(100/'Skjema total MA'!C8*C8,0)</f>
        <v>8.7390805638139904E-2</v>
      </c>
      <c r="F8" s="653"/>
      <c r="G8" s="654"/>
      <c r="H8" s="163"/>
      <c r="I8" s="173"/>
      <c r="J8" s="232">
        <f t="shared" si="1"/>
        <v>28</v>
      </c>
      <c r="K8" s="282">
        <f t="shared" si="1"/>
        <v>1723.404</v>
      </c>
      <c r="L8" s="253"/>
      <c r="M8" s="25">
        <f>IFERROR(100/'Skjema total MA'!I8*K8,0)</f>
        <v>8.7390805638139904E-2</v>
      </c>
      <c r="O8" s="145"/>
    </row>
    <row r="9" spans="1:15" ht="15.75" x14ac:dyDescent="0.2">
      <c r="A9" s="19" t="s">
        <v>25</v>
      </c>
      <c r="B9" s="278">
        <v>1017</v>
      </c>
      <c r="C9" s="279">
        <v>143.77500000000001</v>
      </c>
      <c r="D9" s="163">
        <f t="shared" si="0"/>
        <v>-85.9</v>
      </c>
      <c r="E9" s="25">
        <f>IFERROR(100/'Skjema total MA'!C9*C9,0)</f>
        <v>1.6010902967827239E-2</v>
      </c>
      <c r="F9" s="653"/>
      <c r="G9" s="654"/>
      <c r="H9" s="163"/>
      <c r="I9" s="173"/>
      <c r="J9" s="232">
        <f t="shared" si="1"/>
        <v>1017</v>
      </c>
      <c r="K9" s="282">
        <f t="shared" si="1"/>
        <v>143.77500000000001</v>
      </c>
      <c r="L9" s="253"/>
      <c r="M9" s="25">
        <f>IFERROR(100/'Skjema total MA'!I9*K9,0)</f>
        <v>1.6010902967827239E-2</v>
      </c>
      <c r="O9" s="145"/>
    </row>
    <row r="10" spans="1:15" ht="15.75" x14ac:dyDescent="0.2">
      <c r="A10" s="13" t="s">
        <v>398</v>
      </c>
      <c r="B10" s="299">
        <v>2909</v>
      </c>
      <c r="C10" s="300">
        <v>4442</v>
      </c>
      <c r="D10" s="168">
        <f t="shared" si="0"/>
        <v>52.7</v>
      </c>
      <c r="E10" s="11">
        <f>IFERROR(100/'Skjema total MA'!C10*C10,0)</f>
        <v>1.9756321593537247E-2</v>
      </c>
      <c r="F10" s="299"/>
      <c r="G10" s="300"/>
      <c r="H10" s="168"/>
      <c r="I10" s="157"/>
      <c r="J10" s="297">
        <f t="shared" si="1"/>
        <v>2909</v>
      </c>
      <c r="K10" s="298">
        <f t="shared" si="1"/>
        <v>4442</v>
      </c>
      <c r="L10" s="411">
        <f>IF(J10=0, "    ---- ", IF(ABS(ROUND(100/J10*K10-100,1))&lt;999,ROUND(100/J10*K10-100,1),IF(ROUND(100/J10*K10-100,1)&gt;999,999,-999)))</f>
        <v>52.7</v>
      </c>
      <c r="M10" s="11">
        <f>IFERROR(100/'Skjema total MA'!I10*K10,0)</f>
        <v>7.216009722166853E-3</v>
      </c>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0</v>
      </c>
      <c r="C22" s="306">
        <v>3448.0819999999999</v>
      </c>
      <c r="D22" s="336" t="str">
        <f t="shared" ref="D22:D27" si="2">IF(B22=0, "    ---- ", IF(ABS(ROUND(100/B22*C22-100,1))&lt;999,ROUND(100/B22*C22-100,1),IF(ROUND(100/B22*C22-100,1)&gt;999,999,-999)))</f>
        <v xml:space="preserve">    ---- </v>
      </c>
      <c r="E22" s="11">
        <f>IFERROR(100/'Skjema total MA'!C22*C22,0)</f>
        <v>0.27005110933824389</v>
      </c>
      <c r="F22" s="307"/>
      <c r="G22" s="306"/>
      <c r="H22" s="336"/>
      <c r="I22" s="11"/>
      <c r="J22" s="305">
        <f>SUM(B22,F22)</f>
        <v>0</v>
      </c>
      <c r="K22" s="305">
        <f>SUM(C22,G22)</f>
        <v>3448.0819999999999</v>
      </c>
      <c r="L22" s="410" t="str">
        <f>IF(J22=0, "    ---- ", IF(ABS(ROUND(100/J22*K22-100,1))&lt;999,ROUND(100/J22*K22-100,1),IF(ROUND(100/J22*K22-100,1)&gt;999,999,-999)))</f>
        <v xml:space="preserve">    ---- </v>
      </c>
      <c r="M22" s="22">
        <f>IFERROR(100/'Skjema total MA'!I22*K22,0)</f>
        <v>0.22180386203196964</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0</v>
      </c>
      <c r="C27" s="282">
        <v>3448.0819999999999</v>
      </c>
      <c r="D27" s="163" t="str">
        <f t="shared" si="2"/>
        <v xml:space="preserve">    ---- </v>
      </c>
      <c r="E27" s="25">
        <f>IFERROR(100/'Skjema total MA'!C27*C27,0)</f>
        <v>0.26819807187828604</v>
      </c>
      <c r="F27" s="232"/>
      <c r="G27" s="282"/>
      <c r="H27" s="163"/>
      <c r="I27" s="25"/>
      <c r="J27" s="42">
        <f>SUM(B27,F27)</f>
        <v>0</v>
      </c>
      <c r="K27" s="42">
        <f>SUM(C27,G27)</f>
        <v>3448.0819999999999</v>
      </c>
      <c r="L27" s="253" t="str">
        <f>IF(J27=0, "    ---- ", IF(ABS(ROUND(100/J27*K27-100,1))&lt;999,ROUND(100/J27*K27-100,1),IF(ROUND(100/J27*K27-100,1)&gt;999,999,-999)))</f>
        <v xml:space="preserve">    ---- </v>
      </c>
      <c r="M27" s="21">
        <f>IFERROR(100/'Skjema total MA'!I27*K27,0)</f>
        <v>0.26819807187828604</v>
      </c>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121457</v>
      </c>
      <c r="C45" s="300">
        <v>133262.12599999999</v>
      </c>
      <c r="D45" s="410">
        <f t="shared" ref="D45:D46" si="3">IF(B45=0, "    ---- ", IF(ABS(ROUND(100/B45*C45-100,1))&lt;999,ROUND(100/B45*C45-100,1),IF(ROUND(100/B45*C45-100,1)&gt;999,999,-999)))</f>
        <v>9.6999999999999993</v>
      </c>
      <c r="E45" s="11">
        <f>IFERROR(100/'Skjema total MA'!C45*C45,0)</f>
        <v>3.9919304252333161</v>
      </c>
      <c r="F45" s="142"/>
      <c r="G45" s="31"/>
      <c r="H45" s="156"/>
      <c r="I45" s="156"/>
      <c r="J45" s="35"/>
      <c r="K45" s="35"/>
      <c r="L45" s="156"/>
      <c r="M45" s="156"/>
      <c r="N45" s="145"/>
      <c r="O45" s="145"/>
    </row>
    <row r="46" spans="1:15" s="3" customFormat="1" ht="15.75" x14ac:dyDescent="0.2">
      <c r="A46" s="36" t="s">
        <v>407</v>
      </c>
      <c r="B46" s="278">
        <v>121457</v>
      </c>
      <c r="C46" s="279">
        <v>133262.12599999999</v>
      </c>
      <c r="D46" s="253">
        <f t="shared" si="3"/>
        <v>9.6999999999999993</v>
      </c>
      <c r="E46" s="25">
        <f>IFERROR(100/'Skjema total MA'!C46*C46,0)</f>
        <v>7.321746566071158</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918" priority="142">
      <formula>kvartal &lt; 4</formula>
    </cfRule>
  </conditionalFormatting>
  <conditionalFormatting sqref="B29">
    <cfRule type="expression" dxfId="917" priority="140">
      <formula>kvartal &lt; 4</formula>
    </cfRule>
  </conditionalFormatting>
  <conditionalFormatting sqref="B30">
    <cfRule type="expression" dxfId="916" priority="139">
      <formula>kvartal &lt; 4</formula>
    </cfRule>
  </conditionalFormatting>
  <conditionalFormatting sqref="B31">
    <cfRule type="expression" dxfId="915" priority="138">
      <formula>kvartal &lt; 4</formula>
    </cfRule>
  </conditionalFormatting>
  <conditionalFormatting sqref="C29">
    <cfRule type="expression" dxfId="914" priority="137">
      <formula>kvartal &lt; 4</formula>
    </cfRule>
  </conditionalFormatting>
  <conditionalFormatting sqref="C30">
    <cfRule type="expression" dxfId="913" priority="136">
      <formula>kvartal &lt; 4</formula>
    </cfRule>
  </conditionalFormatting>
  <conditionalFormatting sqref="C31">
    <cfRule type="expression" dxfId="912" priority="135">
      <formula>kvartal &lt; 4</formula>
    </cfRule>
  </conditionalFormatting>
  <conditionalFormatting sqref="B23:C25">
    <cfRule type="expression" dxfId="911" priority="134">
      <formula>kvartal &lt; 4</formula>
    </cfRule>
  </conditionalFormatting>
  <conditionalFormatting sqref="F23:G25">
    <cfRule type="expression" dxfId="910" priority="130">
      <formula>kvartal &lt; 4</formula>
    </cfRule>
  </conditionalFormatting>
  <conditionalFormatting sqref="F29">
    <cfRule type="expression" dxfId="909" priority="123">
      <formula>kvartal &lt; 4</formula>
    </cfRule>
  </conditionalFormatting>
  <conditionalFormatting sqref="F30">
    <cfRule type="expression" dxfId="908" priority="122">
      <formula>kvartal &lt; 4</formula>
    </cfRule>
  </conditionalFormatting>
  <conditionalFormatting sqref="F31">
    <cfRule type="expression" dxfId="907" priority="121">
      <formula>kvartal &lt; 4</formula>
    </cfRule>
  </conditionalFormatting>
  <conditionalFormatting sqref="G29">
    <cfRule type="expression" dxfId="906" priority="120">
      <formula>kvartal &lt; 4</formula>
    </cfRule>
  </conditionalFormatting>
  <conditionalFormatting sqref="G30">
    <cfRule type="expression" dxfId="905" priority="119">
      <formula>kvartal &lt; 4</formula>
    </cfRule>
  </conditionalFormatting>
  <conditionalFormatting sqref="G31">
    <cfRule type="expression" dxfId="904" priority="118">
      <formula>kvartal &lt; 4</formula>
    </cfRule>
  </conditionalFormatting>
  <conditionalFormatting sqref="B26">
    <cfRule type="expression" dxfId="903" priority="117">
      <formula>kvartal &lt; 4</formula>
    </cfRule>
  </conditionalFormatting>
  <conditionalFormatting sqref="C26">
    <cfRule type="expression" dxfId="902" priority="116">
      <formula>kvartal &lt; 4</formula>
    </cfRule>
  </conditionalFormatting>
  <conditionalFormatting sqref="F26">
    <cfRule type="expression" dxfId="901" priority="115">
      <formula>kvartal &lt; 4</formula>
    </cfRule>
  </conditionalFormatting>
  <conditionalFormatting sqref="G26">
    <cfRule type="expression" dxfId="900" priority="114">
      <formula>kvartal &lt; 4</formula>
    </cfRule>
  </conditionalFormatting>
  <conditionalFormatting sqref="J23:K26">
    <cfRule type="expression" dxfId="899" priority="113">
      <formula>kvartal &lt; 4</formula>
    </cfRule>
  </conditionalFormatting>
  <conditionalFormatting sqref="J29:K31">
    <cfRule type="expression" dxfId="898" priority="111">
      <formula>kvartal &lt; 4</formula>
    </cfRule>
  </conditionalFormatting>
  <conditionalFormatting sqref="B67">
    <cfRule type="expression" dxfId="897" priority="110">
      <formula>kvartal &lt; 4</formula>
    </cfRule>
  </conditionalFormatting>
  <conditionalFormatting sqref="C67">
    <cfRule type="expression" dxfId="896" priority="109">
      <formula>kvartal &lt; 4</formula>
    </cfRule>
  </conditionalFormatting>
  <conditionalFormatting sqref="B70">
    <cfRule type="expression" dxfId="895" priority="108">
      <formula>kvartal &lt; 4</formula>
    </cfRule>
  </conditionalFormatting>
  <conditionalFormatting sqref="C70">
    <cfRule type="expression" dxfId="894" priority="107">
      <formula>kvartal &lt; 4</formula>
    </cfRule>
  </conditionalFormatting>
  <conditionalFormatting sqref="B78">
    <cfRule type="expression" dxfId="893" priority="106">
      <formula>kvartal &lt; 4</formula>
    </cfRule>
  </conditionalFormatting>
  <conditionalFormatting sqref="C78">
    <cfRule type="expression" dxfId="892" priority="105">
      <formula>kvartal &lt; 4</formula>
    </cfRule>
  </conditionalFormatting>
  <conditionalFormatting sqref="B81">
    <cfRule type="expression" dxfId="891" priority="104">
      <formula>kvartal &lt; 4</formula>
    </cfRule>
  </conditionalFormatting>
  <conditionalFormatting sqref="C81">
    <cfRule type="expression" dxfId="890" priority="103">
      <formula>kvartal &lt; 4</formula>
    </cfRule>
  </conditionalFormatting>
  <conditionalFormatting sqref="B88">
    <cfRule type="expression" dxfId="889" priority="94">
      <formula>kvartal &lt; 4</formula>
    </cfRule>
  </conditionalFormatting>
  <conditionalFormatting sqref="C88">
    <cfRule type="expression" dxfId="888" priority="93">
      <formula>kvartal &lt; 4</formula>
    </cfRule>
  </conditionalFormatting>
  <conditionalFormatting sqref="B91">
    <cfRule type="expression" dxfId="887" priority="92">
      <formula>kvartal &lt; 4</formula>
    </cfRule>
  </conditionalFormatting>
  <conditionalFormatting sqref="C91">
    <cfRule type="expression" dxfId="886" priority="91">
      <formula>kvartal &lt; 4</formula>
    </cfRule>
  </conditionalFormatting>
  <conditionalFormatting sqref="B99">
    <cfRule type="expression" dxfId="885" priority="90">
      <formula>kvartal &lt; 4</formula>
    </cfRule>
  </conditionalFormatting>
  <conditionalFormatting sqref="C99">
    <cfRule type="expression" dxfId="884" priority="89">
      <formula>kvartal &lt; 4</formula>
    </cfRule>
  </conditionalFormatting>
  <conditionalFormatting sqref="B102">
    <cfRule type="expression" dxfId="883" priority="88">
      <formula>kvartal &lt; 4</formula>
    </cfRule>
  </conditionalFormatting>
  <conditionalFormatting sqref="C102">
    <cfRule type="expression" dxfId="882" priority="87">
      <formula>kvartal &lt; 4</formula>
    </cfRule>
  </conditionalFormatting>
  <conditionalFormatting sqref="B113">
    <cfRule type="expression" dxfId="881" priority="86">
      <formula>kvartal &lt; 4</formula>
    </cfRule>
  </conditionalFormatting>
  <conditionalFormatting sqref="C113">
    <cfRule type="expression" dxfId="880" priority="85">
      <formula>kvartal &lt; 4</formula>
    </cfRule>
  </conditionalFormatting>
  <conditionalFormatting sqref="B121">
    <cfRule type="expression" dxfId="879" priority="84">
      <formula>kvartal &lt; 4</formula>
    </cfRule>
  </conditionalFormatting>
  <conditionalFormatting sqref="C121">
    <cfRule type="expression" dxfId="878" priority="83">
      <formula>kvartal &lt; 4</formula>
    </cfRule>
  </conditionalFormatting>
  <conditionalFormatting sqref="F68">
    <cfRule type="expression" dxfId="877" priority="82">
      <formula>kvartal &lt; 4</formula>
    </cfRule>
  </conditionalFormatting>
  <conditionalFormatting sqref="G68">
    <cfRule type="expression" dxfId="876" priority="81">
      <formula>kvartal &lt; 4</formula>
    </cfRule>
  </conditionalFormatting>
  <conditionalFormatting sqref="F69:G69">
    <cfRule type="expression" dxfId="875" priority="80">
      <formula>kvartal &lt; 4</formula>
    </cfRule>
  </conditionalFormatting>
  <conditionalFormatting sqref="F71:G72">
    <cfRule type="expression" dxfId="874" priority="79">
      <formula>kvartal &lt; 4</formula>
    </cfRule>
  </conditionalFormatting>
  <conditionalFormatting sqref="F79:G80">
    <cfRule type="expression" dxfId="873" priority="78">
      <formula>kvartal &lt; 4</formula>
    </cfRule>
  </conditionalFormatting>
  <conditionalFormatting sqref="F82:G83">
    <cfRule type="expression" dxfId="872" priority="77">
      <formula>kvartal &lt; 4</formula>
    </cfRule>
  </conditionalFormatting>
  <conditionalFormatting sqref="F89:G90">
    <cfRule type="expression" dxfId="871" priority="72">
      <formula>kvartal &lt; 4</formula>
    </cfRule>
  </conditionalFormatting>
  <conditionalFormatting sqref="F92:G93">
    <cfRule type="expression" dxfId="870" priority="71">
      <formula>kvartal &lt; 4</formula>
    </cfRule>
  </conditionalFormatting>
  <conditionalFormatting sqref="F100:G101">
    <cfRule type="expression" dxfId="869" priority="70">
      <formula>kvartal &lt; 4</formula>
    </cfRule>
  </conditionalFormatting>
  <conditionalFormatting sqref="F103:G104">
    <cfRule type="expression" dxfId="868" priority="69">
      <formula>kvartal &lt; 4</formula>
    </cfRule>
  </conditionalFormatting>
  <conditionalFormatting sqref="F113">
    <cfRule type="expression" dxfId="867" priority="68">
      <formula>kvartal &lt; 4</formula>
    </cfRule>
  </conditionalFormatting>
  <conditionalFormatting sqref="G113">
    <cfRule type="expression" dxfId="866" priority="67">
      <formula>kvartal &lt; 4</formula>
    </cfRule>
  </conditionalFormatting>
  <conditionalFormatting sqref="F121:G121">
    <cfRule type="expression" dxfId="865" priority="66">
      <formula>kvartal &lt; 4</formula>
    </cfRule>
  </conditionalFormatting>
  <conditionalFormatting sqref="F67:G67">
    <cfRule type="expression" dxfId="864" priority="65">
      <formula>kvartal &lt; 4</formula>
    </cfRule>
  </conditionalFormatting>
  <conditionalFormatting sqref="F70:G70">
    <cfRule type="expression" dxfId="863" priority="64">
      <formula>kvartal &lt; 4</formula>
    </cfRule>
  </conditionalFormatting>
  <conditionalFormatting sqref="F78:G78">
    <cfRule type="expression" dxfId="862" priority="63">
      <formula>kvartal &lt; 4</formula>
    </cfRule>
  </conditionalFormatting>
  <conditionalFormatting sqref="F81:G81">
    <cfRule type="expression" dxfId="861" priority="62">
      <formula>kvartal &lt; 4</formula>
    </cfRule>
  </conditionalFormatting>
  <conditionalFormatting sqref="F88:G88">
    <cfRule type="expression" dxfId="860" priority="56">
      <formula>kvartal &lt; 4</formula>
    </cfRule>
  </conditionalFormatting>
  <conditionalFormatting sqref="F91">
    <cfRule type="expression" dxfId="859" priority="55">
      <formula>kvartal &lt; 4</formula>
    </cfRule>
  </conditionalFormatting>
  <conditionalFormatting sqref="G91">
    <cfRule type="expression" dxfId="858" priority="54">
      <formula>kvartal &lt; 4</formula>
    </cfRule>
  </conditionalFormatting>
  <conditionalFormatting sqref="F99">
    <cfRule type="expression" dxfId="857" priority="53">
      <formula>kvartal &lt; 4</formula>
    </cfRule>
  </conditionalFormatting>
  <conditionalFormatting sqref="G99">
    <cfRule type="expression" dxfId="856" priority="52">
      <formula>kvartal &lt; 4</formula>
    </cfRule>
  </conditionalFormatting>
  <conditionalFormatting sqref="G102">
    <cfRule type="expression" dxfId="855" priority="51">
      <formula>kvartal &lt; 4</formula>
    </cfRule>
  </conditionalFormatting>
  <conditionalFormatting sqref="F102">
    <cfRule type="expression" dxfId="854" priority="50">
      <formula>kvartal &lt; 4</formula>
    </cfRule>
  </conditionalFormatting>
  <conditionalFormatting sqref="J67:K71">
    <cfRule type="expression" dxfId="853" priority="49">
      <formula>kvartal &lt; 4</formula>
    </cfRule>
  </conditionalFormatting>
  <conditionalFormatting sqref="J72:K72">
    <cfRule type="expression" dxfId="852" priority="48">
      <formula>kvartal &lt; 4</formula>
    </cfRule>
  </conditionalFormatting>
  <conditionalFormatting sqref="J78:K83">
    <cfRule type="expression" dxfId="851" priority="47">
      <formula>kvartal &lt; 4</formula>
    </cfRule>
  </conditionalFormatting>
  <conditionalFormatting sqref="J88:K93">
    <cfRule type="expression" dxfId="850" priority="44">
      <formula>kvartal &lt; 4</formula>
    </cfRule>
  </conditionalFormatting>
  <conditionalFormatting sqref="J99:K104">
    <cfRule type="expression" dxfId="849" priority="43">
      <formula>kvartal &lt; 4</formula>
    </cfRule>
  </conditionalFormatting>
  <conditionalFormatting sqref="J113:K113">
    <cfRule type="expression" dxfId="848" priority="42">
      <formula>kvartal &lt; 4</formula>
    </cfRule>
  </conditionalFormatting>
  <conditionalFormatting sqref="J121:K121">
    <cfRule type="expression" dxfId="847" priority="41">
      <formula>kvartal &lt; 4</formula>
    </cfRule>
  </conditionalFormatting>
  <conditionalFormatting sqref="A23:A25">
    <cfRule type="expression" dxfId="846" priority="10">
      <formula>kvartal &lt; 4</formula>
    </cfRule>
  </conditionalFormatting>
  <conditionalFormatting sqref="A48:A50">
    <cfRule type="expression" dxfId="845" priority="9">
      <formula>kvartal &lt; 4</formula>
    </cfRule>
  </conditionalFormatting>
  <conditionalFormatting sqref="A67:A72">
    <cfRule type="expression" dxfId="844" priority="8">
      <formula>kvartal &lt; 4</formula>
    </cfRule>
  </conditionalFormatting>
  <conditionalFormatting sqref="A113">
    <cfRule type="expression" dxfId="843" priority="7">
      <formula>kvartal &lt; 4</formula>
    </cfRule>
  </conditionalFormatting>
  <conditionalFormatting sqref="A121">
    <cfRule type="expression" dxfId="842" priority="6">
      <formula>kvartal &lt; 4</formula>
    </cfRule>
  </conditionalFormatting>
  <conditionalFormatting sqref="A26">
    <cfRule type="expression" dxfId="841" priority="5">
      <formula>kvartal &lt; 4</formula>
    </cfRule>
  </conditionalFormatting>
  <conditionalFormatting sqref="A29:A31">
    <cfRule type="expression" dxfId="840" priority="4">
      <formula>kvartal &lt; 4</formula>
    </cfRule>
  </conditionalFormatting>
  <conditionalFormatting sqref="A78:A83">
    <cfRule type="expression" dxfId="839" priority="3">
      <formula>kvartal &lt; 4</formula>
    </cfRule>
  </conditionalFormatting>
  <conditionalFormatting sqref="A88:A93">
    <cfRule type="expression" dxfId="838" priority="2">
      <formula>kvartal &lt; 4</formula>
    </cfRule>
  </conditionalFormatting>
  <conditionalFormatting sqref="A99:A104">
    <cfRule type="expression" dxfId="837" priority="1">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102</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22948</v>
      </c>
      <c r="C45" s="300">
        <v>24813</v>
      </c>
      <c r="D45" s="410">
        <f t="shared" ref="D45:D55" si="0">IF(B45=0, "    ---- ", IF(ABS(ROUND(100/B45*C45-100,1))&lt;999,ROUND(100/B45*C45-100,1),IF(ROUND(100/B45*C45-100,1)&gt;999,999,-999)))</f>
        <v>8.1</v>
      </c>
      <c r="E45" s="11">
        <f>IFERROR(100/'Skjema total MA'!C45*C45,0)</f>
        <v>0.74328522750203074</v>
      </c>
      <c r="F45" s="142"/>
      <c r="G45" s="31"/>
      <c r="H45" s="156"/>
      <c r="I45" s="156"/>
      <c r="J45" s="35"/>
      <c r="K45" s="35"/>
      <c r="L45" s="156"/>
      <c r="M45" s="156"/>
      <c r="N45" s="145"/>
      <c r="O45" s="145"/>
    </row>
    <row r="46" spans="1:15" s="3" customFormat="1" ht="15.75" x14ac:dyDescent="0.2">
      <c r="A46" s="36" t="s">
        <v>407</v>
      </c>
      <c r="B46" s="278">
        <v>22948</v>
      </c>
      <c r="C46" s="279">
        <v>24813</v>
      </c>
      <c r="D46" s="253">
        <f t="shared" si="0"/>
        <v>8.1</v>
      </c>
      <c r="E46" s="25">
        <f>IFERROR(100/'Skjema total MA'!C46*C46,0)</f>
        <v>1.3632868017123159</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v>28993</v>
      </c>
      <c r="C54" s="300">
        <v>531</v>
      </c>
      <c r="D54" s="411">
        <f t="shared" si="0"/>
        <v>-98.2</v>
      </c>
      <c r="E54" s="11">
        <f>IFERROR(100/'Skjema total MA'!C54*C54,0)</f>
        <v>0.4732420184190963</v>
      </c>
      <c r="F54" s="142"/>
      <c r="G54" s="31"/>
      <c r="H54" s="142"/>
      <c r="I54" s="142"/>
      <c r="J54" s="31"/>
      <c r="K54" s="31"/>
      <c r="L54" s="156"/>
      <c r="M54" s="156"/>
      <c r="N54" s="145"/>
      <c r="O54" s="145"/>
    </row>
    <row r="55" spans="1:15" s="3" customFormat="1" ht="15.75" x14ac:dyDescent="0.2">
      <c r="A55" s="36" t="s">
        <v>407</v>
      </c>
      <c r="B55" s="278">
        <v>28993</v>
      </c>
      <c r="C55" s="279">
        <v>531</v>
      </c>
      <c r="D55" s="253">
        <f t="shared" si="0"/>
        <v>-98.2</v>
      </c>
      <c r="E55" s="25">
        <f>IFERROR(100/'Skjema total MA'!C55*C55,0)</f>
        <v>0.4732420184190963</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836" priority="142">
      <formula>kvartal &lt; 4</formula>
    </cfRule>
  </conditionalFormatting>
  <conditionalFormatting sqref="B29">
    <cfRule type="expression" dxfId="835" priority="140">
      <formula>kvartal &lt; 4</formula>
    </cfRule>
  </conditionalFormatting>
  <conditionalFormatting sqref="B30">
    <cfRule type="expression" dxfId="834" priority="139">
      <formula>kvartal &lt; 4</formula>
    </cfRule>
  </conditionalFormatting>
  <conditionalFormatting sqref="B31">
    <cfRule type="expression" dxfId="833" priority="138">
      <formula>kvartal &lt; 4</formula>
    </cfRule>
  </conditionalFormatting>
  <conditionalFormatting sqref="C29">
    <cfRule type="expression" dxfId="832" priority="137">
      <formula>kvartal &lt; 4</formula>
    </cfRule>
  </conditionalFormatting>
  <conditionalFormatting sqref="C30">
    <cfRule type="expression" dxfId="831" priority="136">
      <formula>kvartal &lt; 4</formula>
    </cfRule>
  </conditionalFormatting>
  <conditionalFormatting sqref="C31">
    <cfRule type="expression" dxfId="830" priority="135">
      <formula>kvartal &lt; 4</formula>
    </cfRule>
  </conditionalFormatting>
  <conditionalFormatting sqref="B23:C25">
    <cfRule type="expression" dxfId="829" priority="134">
      <formula>kvartal &lt; 4</formula>
    </cfRule>
  </conditionalFormatting>
  <conditionalFormatting sqref="F23:G25">
    <cfRule type="expression" dxfId="828" priority="130">
      <formula>kvartal &lt; 4</formula>
    </cfRule>
  </conditionalFormatting>
  <conditionalFormatting sqref="F29">
    <cfRule type="expression" dxfId="827" priority="123">
      <formula>kvartal &lt; 4</formula>
    </cfRule>
  </conditionalFormatting>
  <conditionalFormatting sqref="F30">
    <cfRule type="expression" dxfId="826" priority="122">
      <formula>kvartal &lt; 4</formula>
    </cfRule>
  </conditionalFormatting>
  <conditionalFormatting sqref="F31">
    <cfRule type="expression" dxfId="825" priority="121">
      <formula>kvartal &lt; 4</formula>
    </cfRule>
  </conditionalFormatting>
  <conditionalFormatting sqref="G29">
    <cfRule type="expression" dxfId="824" priority="120">
      <formula>kvartal &lt; 4</formula>
    </cfRule>
  </conditionalFormatting>
  <conditionalFormatting sqref="G30">
    <cfRule type="expression" dxfId="823" priority="119">
      <formula>kvartal &lt; 4</formula>
    </cfRule>
  </conditionalFormatting>
  <conditionalFormatting sqref="G31">
    <cfRule type="expression" dxfId="822" priority="118">
      <formula>kvartal &lt; 4</formula>
    </cfRule>
  </conditionalFormatting>
  <conditionalFormatting sqref="B26">
    <cfRule type="expression" dxfId="821" priority="117">
      <formula>kvartal &lt; 4</formula>
    </cfRule>
  </conditionalFormatting>
  <conditionalFormatting sqref="C26">
    <cfRule type="expression" dxfId="820" priority="116">
      <formula>kvartal &lt; 4</formula>
    </cfRule>
  </conditionalFormatting>
  <conditionalFormatting sqref="F26">
    <cfRule type="expression" dxfId="819" priority="115">
      <formula>kvartal &lt; 4</formula>
    </cfRule>
  </conditionalFormatting>
  <conditionalFormatting sqref="G26">
    <cfRule type="expression" dxfId="818" priority="114">
      <formula>kvartal &lt; 4</formula>
    </cfRule>
  </conditionalFormatting>
  <conditionalFormatting sqref="J23:K26">
    <cfRule type="expression" dxfId="817" priority="113">
      <formula>kvartal &lt; 4</formula>
    </cfRule>
  </conditionalFormatting>
  <conditionalFormatting sqref="J29:K31">
    <cfRule type="expression" dxfId="816" priority="111">
      <formula>kvartal &lt; 4</formula>
    </cfRule>
  </conditionalFormatting>
  <conditionalFormatting sqref="B67">
    <cfRule type="expression" dxfId="815" priority="110">
      <formula>kvartal &lt; 4</formula>
    </cfRule>
  </conditionalFormatting>
  <conditionalFormatting sqref="C67">
    <cfRule type="expression" dxfId="814" priority="109">
      <formula>kvartal &lt; 4</formula>
    </cfRule>
  </conditionalFormatting>
  <conditionalFormatting sqref="B70">
    <cfRule type="expression" dxfId="813" priority="108">
      <formula>kvartal &lt; 4</formula>
    </cfRule>
  </conditionalFormatting>
  <conditionalFormatting sqref="C70">
    <cfRule type="expression" dxfId="812" priority="107">
      <formula>kvartal &lt; 4</formula>
    </cfRule>
  </conditionalFormatting>
  <conditionalFormatting sqref="B78">
    <cfRule type="expression" dxfId="811" priority="106">
      <formula>kvartal &lt; 4</formula>
    </cfRule>
  </conditionalFormatting>
  <conditionalFormatting sqref="C78">
    <cfRule type="expression" dxfId="810" priority="105">
      <formula>kvartal &lt; 4</formula>
    </cfRule>
  </conditionalFormatting>
  <conditionalFormatting sqref="B81">
    <cfRule type="expression" dxfId="809" priority="104">
      <formula>kvartal &lt; 4</formula>
    </cfRule>
  </conditionalFormatting>
  <conditionalFormatting sqref="C81">
    <cfRule type="expression" dxfId="808" priority="103">
      <formula>kvartal &lt; 4</formula>
    </cfRule>
  </conditionalFormatting>
  <conditionalFormatting sqref="B88">
    <cfRule type="expression" dxfId="807" priority="94">
      <formula>kvartal &lt; 4</formula>
    </cfRule>
  </conditionalFormatting>
  <conditionalFormatting sqref="C88">
    <cfRule type="expression" dxfId="806" priority="93">
      <formula>kvartal &lt; 4</formula>
    </cfRule>
  </conditionalFormatting>
  <conditionalFormatting sqref="B91">
    <cfRule type="expression" dxfId="805" priority="92">
      <formula>kvartal &lt; 4</formula>
    </cfRule>
  </conditionalFormatting>
  <conditionalFormatting sqref="C91">
    <cfRule type="expression" dxfId="804" priority="91">
      <formula>kvartal &lt; 4</formula>
    </cfRule>
  </conditionalFormatting>
  <conditionalFormatting sqref="B99">
    <cfRule type="expression" dxfId="803" priority="90">
      <formula>kvartal &lt; 4</formula>
    </cfRule>
  </conditionalFormatting>
  <conditionalFormatting sqref="C99">
    <cfRule type="expression" dxfId="802" priority="89">
      <formula>kvartal &lt; 4</formula>
    </cfRule>
  </conditionalFormatting>
  <conditionalFormatting sqref="B102">
    <cfRule type="expression" dxfId="801" priority="88">
      <formula>kvartal &lt; 4</formula>
    </cfRule>
  </conditionalFormatting>
  <conditionalFormatting sqref="C102">
    <cfRule type="expression" dxfId="800" priority="87">
      <formula>kvartal &lt; 4</formula>
    </cfRule>
  </conditionalFormatting>
  <conditionalFormatting sqref="B113">
    <cfRule type="expression" dxfId="799" priority="86">
      <formula>kvartal &lt; 4</formula>
    </cfRule>
  </conditionalFormatting>
  <conditionalFormatting sqref="C113">
    <cfRule type="expression" dxfId="798" priority="85">
      <formula>kvartal &lt; 4</formula>
    </cfRule>
  </conditionalFormatting>
  <conditionalFormatting sqref="B121">
    <cfRule type="expression" dxfId="797" priority="84">
      <formula>kvartal &lt; 4</formula>
    </cfRule>
  </conditionalFormatting>
  <conditionalFormatting sqref="C121">
    <cfRule type="expression" dxfId="796" priority="83">
      <formula>kvartal &lt; 4</formula>
    </cfRule>
  </conditionalFormatting>
  <conditionalFormatting sqref="F68">
    <cfRule type="expression" dxfId="795" priority="82">
      <formula>kvartal &lt; 4</formula>
    </cfRule>
  </conditionalFormatting>
  <conditionalFormatting sqref="G68">
    <cfRule type="expression" dxfId="794" priority="81">
      <formula>kvartal &lt; 4</formula>
    </cfRule>
  </conditionalFormatting>
  <conditionalFormatting sqref="F69:G69">
    <cfRule type="expression" dxfId="793" priority="80">
      <formula>kvartal &lt; 4</formula>
    </cfRule>
  </conditionalFormatting>
  <conditionalFormatting sqref="F71:G72">
    <cfRule type="expression" dxfId="792" priority="79">
      <formula>kvartal &lt; 4</formula>
    </cfRule>
  </conditionalFormatting>
  <conditionalFormatting sqref="F79:G80">
    <cfRule type="expression" dxfId="791" priority="78">
      <formula>kvartal &lt; 4</formula>
    </cfRule>
  </conditionalFormatting>
  <conditionalFormatting sqref="F82:G83">
    <cfRule type="expression" dxfId="790" priority="77">
      <formula>kvartal &lt; 4</formula>
    </cfRule>
  </conditionalFormatting>
  <conditionalFormatting sqref="F89:G90">
    <cfRule type="expression" dxfId="789" priority="72">
      <formula>kvartal &lt; 4</formula>
    </cfRule>
  </conditionalFormatting>
  <conditionalFormatting sqref="F92:G93">
    <cfRule type="expression" dxfId="788" priority="71">
      <formula>kvartal &lt; 4</formula>
    </cfRule>
  </conditionalFormatting>
  <conditionalFormatting sqref="F100:G101">
    <cfRule type="expression" dxfId="787" priority="70">
      <formula>kvartal &lt; 4</formula>
    </cfRule>
  </conditionalFormatting>
  <conditionalFormatting sqref="F103:G104">
    <cfRule type="expression" dxfId="786" priority="69">
      <formula>kvartal &lt; 4</formula>
    </cfRule>
  </conditionalFormatting>
  <conditionalFormatting sqref="F113">
    <cfRule type="expression" dxfId="785" priority="68">
      <formula>kvartal &lt; 4</formula>
    </cfRule>
  </conditionalFormatting>
  <conditionalFormatting sqref="G113">
    <cfRule type="expression" dxfId="784" priority="67">
      <formula>kvartal &lt; 4</formula>
    </cfRule>
  </conditionalFormatting>
  <conditionalFormatting sqref="F121:G121">
    <cfRule type="expression" dxfId="783" priority="66">
      <formula>kvartal &lt; 4</formula>
    </cfRule>
  </conditionalFormatting>
  <conditionalFormatting sqref="F67:G67">
    <cfRule type="expression" dxfId="782" priority="65">
      <formula>kvartal &lt; 4</formula>
    </cfRule>
  </conditionalFormatting>
  <conditionalFormatting sqref="F70:G70">
    <cfRule type="expression" dxfId="781" priority="64">
      <formula>kvartal &lt; 4</formula>
    </cfRule>
  </conditionalFormatting>
  <conditionalFormatting sqref="F78:G78">
    <cfRule type="expression" dxfId="780" priority="63">
      <formula>kvartal &lt; 4</formula>
    </cfRule>
  </conditionalFormatting>
  <conditionalFormatting sqref="F81:G81">
    <cfRule type="expression" dxfId="779" priority="62">
      <formula>kvartal &lt; 4</formula>
    </cfRule>
  </conditionalFormatting>
  <conditionalFormatting sqref="F88:G88">
    <cfRule type="expression" dxfId="778" priority="56">
      <formula>kvartal &lt; 4</formula>
    </cfRule>
  </conditionalFormatting>
  <conditionalFormatting sqref="F91">
    <cfRule type="expression" dxfId="777" priority="55">
      <formula>kvartal &lt; 4</formula>
    </cfRule>
  </conditionalFormatting>
  <conditionalFormatting sqref="G91">
    <cfRule type="expression" dxfId="776" priority="54">
      <formula>kvartal &lt; 4</formula>
    </cfRule>
  </conditionalFormatting>
  <conditionalFormatting sqref="F99">
    <cfRule type="expression" dxfId="775" priority="53">
      <formula>kvartal &lt; 4</formula>
    </cfRule>
  </conditionalFormatting>
  <conditionalFormatting sqref="G99">
    <cfRule type="expression" dxfId="774" priority="52">
      <formula>kvartal &lt; 4</formula>
    </cfRule>
  </conditionalFormatting>
  <conditionalFormatting sqref="G102">
    <cfRule type="expression" dxfId="773" priority="51">
      <formula>kvartal &lt; 4</formula>
    </cfRule>
  </conditionalFormatting>
  <conditionalFormatting sqref="F102">
    <cfRule type="expression" dxfId="772" priority="50">
      <formula>kvartal &lt; 4</formula>
    </cfRule>
  </conditionalFormatting>
  <conditionalFormatting sqref="J67:K71">
    <cfRule type="expression" dxfId="771" priority="49">
      <formula>kvartal &lt; 4</formula>
    </cfRule>
  </conditionalFormatting>
  <conditionalFormatting sqref="J72:K72">
    <cfRule type="expression" dxfId="770" priority="48">
      <formula>kvartal &lt; 4</formula>
    </cfRule>
  </conditionalFormatting>
  <conditionalFormatting sqref="J78:K83">
    <cfRule type="expression" dxfId="769" priority="47">
      <formula>kvartal &lt; 4</formula>
    </cfRule>
  </conditionalFormatting>
  <conditionalFormatting sqref="J88:K93">
    <cfRule type="expression" dxfId="768" priority="44">
      <formula>kvartal &lt; 4</formula>
    </cfRule>
  </conditionalFormatting>
  <conditionalFormatting sqref="J99:K104">
    <cfRule type="expression" dxfId="767" priority="43">
      <formula>kvartal &lt; 4</formula>
    </cfRule>
  </conditionalFormatting>
  <conditionalFormatting sqref="J113:K113">
    <cfRule type="expression" dxfId="766" priority="42">
      <formula>kvartal &lt; 4</formula>
    </cfRule>
  </conditionalFormatting>
  <conditionalFormatting sqref="J121:K121">
    <cfRule type="expression" dxfId="765" priority="41">
      <formula>kvartal &lt; 4</formula>
    </cfRule>
  </conditionalFormatting>
  <conditionalFormatting sqref="A23:A25">
    <cfRule type="expression" dxfId="764" priority="10">
      <formula>kvartal &lt; 4</formula>
    </cfRule>
  </conditionalFormatting>
  <conditionalFormatting sqref="A48:A50">
    <cfRule type="expression" dxfId="763" priority="9">
      <formula>kvartal &lt; 4</formula>
    </cfRule>
  </conditionalFormatting>
  <conditionalFormatting sqref="A67:A72">
    <cfRule type="expression" dxfId="762" priority="8">
      <formula>kvartal &lt; 4</formula>
    </cfRule>
  </conditionalFormatting>
  <conditionalFormatting sqref="A113">
    <cfRule type="expression" dxfId="761" priority="7">
      <formula>kvartal &lt; 4</formula>
    </cfRule>
  </conditionalFormatting>
  <conditionalFormatting sqref="A121">
    <cfRule type="expression" dxfId="760" priority="6">
      <formula>kvartal &lt; 4</formula>
    </cfRule>
  </conditionalFormatting>
  <conditionalFormatting sqref="A26">
    <cfRule type="expression" dxfId="759" priority="5">
      <formula>kvartal &lt; 4</formula>
    </cfRule>
  </conditionalFormatting>
  <conditionalFormatting sqref="A29:A31">
    <cfRule type="expression" dxfId="758" priority="4">
      <formula>kvartal &lt; 4</formula>
    </cfRule>
  </conditionalFormatting>
  <conditionalFormatting sqref="A78:A83">
    <cfRule type="expression" dxfId="757" priority="3">
      <formula>kvartal &lt; 4</formula>
    </cfRule>
  </conditionalFormatting>
  <conditionalFormatting sqref="A88:A93">
    <cfRule type="expression" dxfId="756" priority="2">
      <formula>kvartal &lt; 4</formula>
    </cfRule>
  </conditionalFormatting>
  <conditionalFormatting sqref="A99:A104">
    <cfRule type="expression" dxfId="755" priority="1">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143</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1465</v>
      </c>
      <c r="C45" s="300">
        <v>2011</v>
      </c>
      <c r="D45" s="410">
        <f t="shared" ref="D45:D55" si="0">IF(B45=0, "    ---- ", IF(ABS(ROUND(100/B45*C45-100,1))&lt;999,ROUND(100/B45*C45-100,1),IF(ROUND(100/B45*C45-100,1)&gt;999,999,-999)))</f>
        <v>37.299999999999997</v>
      </c>
      <c r="E45" s="11">
        <f>IFERROR(100/'Skjema total MA'!C45*C45,0)</f>
        <v>6.0240462358706476E-2</v>
      </c>
      <c r="F45" s="142"/>
      <c r="G45" s="31"/>
      <c r="H45" s="156"/>
      <c r="I45" s="156"/>
      <c r="J45" s="35"/>
      <c r="K45" s="35"/>
      <c r="L45" s="156"/>
      <c r="M45" s="156"/>
      <c r="N45" s="145"/>
      <c r="O45" s="145"/>
    </row>
    <row r="46" spans="1:15" s="3" customFormat="1" ht="15.75" x14ac:dyDescent="0.2">
      <c r="A46" s="36" t="s">
        <v>407</v>
      </c>
      <c r="B46" s="278">
        <v>1465</v>
      </c>
      <c r="C46" s="279">
        <v>2011</v>
      </c>
      <c r="D46" s="253">
        <f t="shared" si="0"/>
        <v>37.299999999999997</v>
      </c>
      <c r="E46" s="25">
        <f>IFERROR(100/'Skjema total MA'!C46*C46,0)</f>
        <v>0.11048924991913381</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t="s">
        <v>421</v>
      </c>
      <c r="D48" s="253"/>
      <c r="E48" s="21"/>
      <c r="F48" s="142"/>
      <c r="G48" s="31"/>
      <c r="H48" s="142"/>
      <c r="I48" s="142"/>
      <c r="J48" s="31"/>
      <c r="K48" s="31"/>
      <c r="L48" s="156"/>
      <c r="M48" s="156"/>
      <c r="N48" s="145"/>
      <c r="O48" s="145"/>
    </row>
    <row r="49" spans="1:15" s="3" customFormat="1" x14ac:dyDescent="0.2">
      <c r="A49" s="652" t="s">
        <v>7</v>
      </c>
      <c r="B49" s="653"/>
      <c r="C49" s="654" t="s">
        <v>421</v>
      </c>
      <c r="D49" s="253"/>
      <c r="E49" s="21"/>
      <c r="F49" s="142"/>
      <c r="G49" s="31"/>
      <c r="H49" s="142"/>
      <c r="I49" s="142"/>
      <c r="J49" s="31"/>
      <c r="K49" s="31"/>
      <c r="L49" s="156"/>
      <c r="M49" s="156"/>
      <c r="N49" s="145"/>
      <c r="O49" s="145"/>
    </row>
    <row r="50" spans="1:15" s="3" customFormat="1" x14ac:dyDescent="0.2">
      <c r="A50" s="652" t="s">
        <v>8</v>
      </c>
      <c r="B50" s="653"/>
      <c r="C50" s="654" t="s">
        <v>421</v>
      </c>
      <c r="D50" s="253"/>
      <c r="E50" s="21"/>
      <c r="F50" s="142"/>
      <c r="G50" s="31"/>
      <c r="H50" s="142"/>
      <c r="I50" s="142"/>
      <c r="J50" s="31"/>
      <c r="K50" s="31"/>
      <c r="L50" s="156"/>
      <c r="M50" s="156"/>
      <c r="N50" s="145"/>
      <c r="O50" s="145"/>
    </row>
    <row r="51" spans="1:15" s="3" customFormat="1" ht="15.75" x14ac:dyDescent="0.2">
      <c r="A51" s="37" t="s">
        <v>409</v>
      </c>
      <c r="B51" s="299">
        <v>0.06</v>
      </c>
      <c r="C51" s="300">
        <v>0.5</v>
      </c>
      <c r="D51" s="411">
        <f t="shared" si="0"/>
        <v>733.3</v>
      </c>
      <c r="E51" s="11">
        <f>IFERROR(100/'Skjema total MA'!C51*C51,0)</f>
        <v>3.2933128202977251E-4</v>
      </c>
      <c r="F51" s="142"/>
      <c r="G51" s="31"/>
      <c r="H51" s="142"/>
      <c r="I51" s="142"/>
      <c r="J51" s="31"/>
      <c r="K51" s="31"/>
      <c r="L51" s="156"/>
      <c r="M51" s="156"/>
      <c r="N51" s="145"/>
      <c r="O51" s="145"/>
    </row>
    <row r="52" spans="1:15" s="3" customFormat="1" ht="15.75" x14ac:dyDescent="0.2">
      <c r="A52" s="36" t="s">
        <v>407</v>
      </c>
      <c r="B52" s="278">
        <v>0.06</v>
      </c>
      <c r="C52" s="279">
        <v>0.5</v>
      </c>
      <c r="D52" s="253">
        <f t="shared" si="0"/>
        <v>733.3</v>
      </c>
      <c r="E52" s="25">
        <f>IFERROR(100/'Skjema total MA'!C52*C52,0)</f>
        <v>5.2924665718284876E-4</v>
      </c>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v>980</v>
      </c>
      <c r="C54" s="300">
        <v>0.9</v>
      </c>
      <c r="D54" s="411">
        <f t="shared" si="0"/>
        <v>-99.9</v>
      </c>
      <c r="E54" s="11">
        <f>IFERROR(100/'Skjema total MA'!C54*C54,0)</f>
        <v>8.0210511596456998E-4</v>
      </c>
      <c r="F54" s="142"/>
      <c r="G54" s="31"/>
      <c r="H54" s="142"/>
      <c r="I54" s="142"/>
      <c r="J54" s="31"/>
      <c r="K54" s="31"/>
      <c r="L54" s="156"/>
      <c r="M54" s="156"/>
      <c r="N54" s="145"/>
      <c r="O54" s="145"/>
    </row>
    <row r="55" spans="1:15" s="3" customFormat="1" ht="15.75" x14ac:dyDescent="0.2">
      <c r="A55" s="36" t="s">
        <v>407</v>
      </c>
      <c r="B55" s="278">
        <v>980</v>
      </c>
      <c r="C55" s="279">
        <v>0.9</v>
      </c>
      <c r="D55" s="253">
        <f t="shared" si="0"/>
        <v>-99.9</v>
      </c>
      <c r="E55" s="25">
        <f>IFERROR(100/'Skjema total MA'!C55*C55,0)</f>
        <v>8.0210511596456998E-4</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754" priority="142">
      <formula>kvartal &lt; 4</formula>
    </cfRule>
  </conditionalFormatting>
  <conditionalFormatting sqref="B29">
    <cfRule type="expression" dxfId="753" priority="140">
      <formula>kvartal &lt; 4</formula>
    </cfRule>
  </conditionalFormatting>
  <conditionalFormatting sqref="B30">
    <cfRule type="expression" dxfId="752" priority="139">
      <formula>kvartal &lt; 4</formula>
    </cfRule>
  </conditionalFormatting>
  <conditionalFormatting sqref="B31">
    <cfRule type="expression" dxfId="751" priority="138">
      <formula>kvartal &lt; 4</formula>
    </cfRule>
  </conditionalFormatting>
  <conditionalFormatting sqref="C29">
    <cfRule type="expression" dxfId="750" priority="137">
      <formula>kvartal &lt; 4</formula>
    </cfRule>
  </conditionalFormatting>
  <conditionalFormatting sqref="C30">
    <cfRule type="expression" dxfId="749" priority="136">
      <formula>kvartal &lt; 4</formula>
    </cfRule>
  </conditionalFormatting>
  <conditionalFormatting sqref="C31">
    <cfRule type="expression" dxfId="748" priority="135">
      <formula>kvartal &lt; 4</formula>
    </cfRule>
  </conditionalFormatting>
  <conditionalFormatting sqref="B23:C25">
    <cfRule type="expression" dxfId="747" priority="134">
      <formula>kvartal &lt; 4</formula>
    </cfRule>
  </conditionalFormatting>
  <conditionalFormatting sqref="F23:G25">
    <cfRule type="expression" dxfId="746" priority="130">
      <formula>kvartal &lt; 4</formula>
    </cfRule>
  </conditionalFormatting>
  <conditionalFormatting sqref="F29">
    <cfRule type="expression" dxfId="745" priority="123">
      <formula>kvartal &lt; 4</formula>
    </cfRule>
  </conditionalFormatting>
  <conditionalFormatting sqref="F30">
    <cfRule type="expression" dxfId="744" priority="122">
      <formula>kvartal &lt; 4</formula>
    </cfRule>
  </conditionalFormatting>
  <conditionalFormatting sqref="F31">
    <cfRule type="expression" dxfId="743" priority="121">
      <formula>kvartal &lt; 4</formula>
    </cfRule>
  </conditionalFormatting>
  <conditionalFormatting sqref="G29">
    <cfRule type="expression" dxfId="742" priority="120">
      <formula>kvartal &lt; 4</formula>
    </cfRule>
  </conditionalFormatting>
  <conditionalFormatting sqref="G30">
    <cfRule type="expression" dxfId="741" priority="119">
      <formula>kvartal &lt; 4</formula>
    </cfRule>
  </conditionalFormatting>
  <conditionalFormatting sqref="G31">
    <cfRule type="expression" dxfId="740" priority="118">
      <formula>kvartal &lt; 4</formula>
    </cfRule>
  </conditionalFormatting>
  <conditionalFormatting sqref="B26">
    <cfRule type="expression" dxfId="739" priority="117">
      <formula>kvartal &lt; 4</formula>
    </cfRule>
  </conditionalFormatting>
  <conditionalFormatting sqref="C26">
    <cfRule type="expression" dxfId="738" priority="116">
      <formula>kvartal &lt; 4</formula>
    </cfRule>
  </conditionalFormatting>
  <conditionalFormatting sqref="F26">
    <cfRule type="expression" dxfId="737" priority="115">
      <formula>kvartal &lt; 4</formula>
    </cfRule>
  </conditionalFormatting>
  <conditionalFormatting sqref="G26">
    <cfRule type="expression" dxfId="736" priority="114">
      <formula>kvartal &lt; 4</formula>
    </cfRule>
  </conditionalFormatting>
  <conditionalFormatting sqref="J23:K26">
    <cfRule type="expression" dxfId="735" priority="113">
      <formula>kvartal &lt; 4</formula>
    </cfRule>
  </conditionalFormatting>
  <conditionalFormatting sqref="J29:K31">
    <cfRule type="expression" dxfId="734" priority="111">
      <formula>kvartal &lt; 4</formula>
    </cfRule>
  </conditionalFormatting>
  <conditionalFormatting sqref="B67">
    <cfRule type="expression" dxfId="733" priority="110">
      <formula>kvartal &lt; 4</formula>
    </cfRule>
  </conditionalFormatting>
  <conditionalFormatting sqref="C67">
    <cfRule type="expression" dxfId="732" priority="109">
      <formula>kvartal &lt; 4</formula>
    </cfRule>
  </conditionalFormatting>
  <conditionalFormatting sqref="B70">
    <cfRule type="expression" dxfId="731" priority="108">
      <formula>kvartal &lt; 4</formula>
    </cfRule>
  </conditionalFormatting>
  <conditionalFormatting sqref="C70">
    <cfRule type="expression" dxfId="730" priority="107">
      <formula>kvartal &lt; 4</formula>
    </cfRule>
  </conditionalFormatting>
  <conditionalFormatting sqref="B78">
    <cfRule type="expression" dxfId="729" priority="106">
      <formula>kvartal &lt; 4</formula>
    </cfRule>
  </conditionalFormatting>
  <conditionalFormatting sqref="C78">
    <cfRule type="expression" dxfId="728" priority="105">
      <formula>kvartal &lt; 4</formula>
    </cfRule>
  </conditionalFormatting>
  <conditionalFormatting sqref="B81">
    <cfRule type="expression" dxfId="727" priority="104">
      <formula>kvartal &lt; 4</formula>
    </cfRule>
  </conditionalFormatting>
  <conditionalFormatting sqref="C81">
    <cfRule type="expression" dxfId="726" priority="103">
      <formula>kvartal &lt; 4</formula>
    </cfRule>
  </conditionalFormatting>
  <conditionalFormatting sqref="B88">
    <cfRule type="expression" dxfId="725" priority="94">
      <formula>kvartal &lt; 4</formula>
    </cfRule>
  </conditionalFormatting>
  <conditionalFormatting sqref="C88">
    <cfRule type="expression" dxfId="724" priority="93">
      <formula>kvartal &lt; 4</formula>
    </cfRule>
  </conditionalFormatting>
  <conditionalFormatting sqref="B91">
    <cfRule type="expression" dxfId="723" priority="92">
      <formula>kvartal &lt; 4</formula>
    </cfRule>
  </conditionalFormatting>
  <conditionalFormatting sqref="C91">
    <cfRule type="expression" dxfId="722" priority="91">
      <formula>kvartal &lt; 4</formula>
    </cfRule>
  </conditionalFormatting>
  <conditionalFormatting sqref="B99">
    <cfRule type="expression" dxfId="721" priority="90">
      <formula>kvartal &lt; 4</formula>
    </cfRule>
  </conditionalFormatting>
  <conditionalFormatting sqref="C99">
    <cfRule type="expression" dxfId="720" priority="89">
      <formula>kvartal &lt; 4</formula>
    </cfRule>
  </conditionalFormatting>
  <conditionalFormatting sqref="B102">
    <cfRule type="expression" dxfId="719" priority="88">
      <formula>kvartal &lt; 4</formula>
    </cfRule>
  </conditionalFormatting>
  <conditionalFormatting sqref="C102">
    <cfRule type="expression" dxfId="718" priority="87">
      <formula>kvartal &lt; 4</formula>
    </cfRule>
  </conditionalFormatting>
  <conditionalFormatting sqref="B113">
    <cfRule type="expression" dxfId="717" priority="86">
      <formula>kvartal &lt; 4</formula>
    </cfRule>
  </conditionalFormatting>
  <conditionalFormatting sqref="C113">
    <cfRule type="expression" dxfId="716" priority="85">
      <formula>kvartal &lt; 4</formula>
    </cfRule>
  </conditionalFormatting>
  <conditionalFormatting sqref="B121">
    <cfRule type="expression" dxfId="715" priority="84">
      <formula>kvartal &lt; 4</formula>
    </cfRule>
  </conditionalFormatting>
  <conditionalFormatting sqref="C121">
    <cfRule type="expression" dxfId="714" priority="83">
      <formula>kvartal &lt; 4</formula>
    </cfRule>
  </conditionalFormatting>
  <conditionalFormatting sqref="F68">
    <cfRule type="expression" dxfId="713" priority="82">
      <formula>kvartal &lt; 4</formula>
    </cfRule>
  </conditionalFormatting>
  <conditionalFormatting sqref="G68">
    <cfRule type="expression" dxfId="712" priority="81">
      <formula>kvartal &lt; 4</formula>
    </cfRule>
  </conditionalFormatting>
  <conditionalFormatting sqref="F69:G69">
    <cfRule type="expression" dxfId="711" priority="80">
      <formula>kvartal &lt; 4</formula>
    </cfRule>
  </conditionalFormatting>
  <conditionalFormatting sqref="F71:G72">
    <cfRule type="expression" dxfId="710" priority="79">
      <formula>kvartal &lt; 4</formula>
    </cfRule>
  </conditionalFormatting>
  <conditionalFormatting sqref="F79:G80">
    <cfRule type="expression" dxfId="709" priority="78">
      <formula>kvartal &lt; 4</formula>
    </cfRule>
  </conditionalFormatting>
  <conditionalFormatting sqref="F82:G83">
    <cfRule type="expression" dxfId="708" priority="77">
      <formula>kvartal &lt; 4</formula>
    </cfRule>
  </conditionalFormatting>
  <conditionalFormatting sqref="F89:G90">
    <cfRule type="expression" dxfId="707" priority="72">
      <formula>kvartal &lt; 4</formula>
    </cfRule>
  </conditionalFormatting>
  <conditionalFormatting sqref="F92:G93">
    <cfRule type="expression" dxfId="706" priority="71">
      <formula>kvartal &lt; 4</formula>
    </cfRule>
  </conditionalFormatting>
  <conditionalFormatting sqref="F100:G101">
    <cfRule type="expression" dxfId="705" priority="70">
      <formula>kvartal &lt; 4</formula>
    </cfRule>
  </conditionalFormatting>
  <conditionalFormatting sqref="F103:G104">
    <cfRule type="expression" dxfId="704" priority="69">
      <formula>kvartal &lt; 4</formula>
    </cfRule>
  </conditionalFormatting>
  <conditionalFormatting sqref="F113">
    <cfRule type="expression" dxfId="703" priority="68">
      <formula>kvartal &lt; 4</formula>
    </cfRule>
  </conditionalFormatting>
  <conditionalFormatting sqref="G113">
    <cfRule type="expression" dxfId="702" priority="67">
      <formula>kvartal &lt; 4</formula>
    </cfRule>
  </conditionalFormatting>
  <conditionalFormatting sqref="F121:G121">
    <cfRule type="expression" dxfId="701" priority="66">
      <formula>kvartal &lt; 4</formula>
    </cfRule>
  </conditionalFormatting>
  <conditionalFormatting sqref="F67:G67">
    <cfRule type="expression" dxfId="700" priority="65">
      <formula>kvartal &lt; 4</formula>
    </cfRule>
  </conditionalFormatting>
  <conditionalFormatting sqref="F70:G70">
    <cfRule type="expression" dxfId="699" priority="64">
      <formula>kvartal &lt; 4</formula>
    </cfRule>
  </conditionalFormatting>
  <conditionalFormatting sqref="F78:G78">
    <cfRule type="expression" dxfId="698" priority="63">
      <formula>kvartal &lt; 4</formula>
    </cfRule>
  </conditionalFormatting>
  <conditionalFormatting sqref="F81:G81">
    <cfRule type="expression" dxfId="697" priority="62">
      <formula>kvartal &lt; 4</formula>
    </cfRule>
  </conditionalFormatting>
  <conditionalFormatting sqref="F88:G88">
    <cfRule type="expression" dxfId="696" priority="56">
      <formula>kvartal &lt; 4</formula>
    </cfRule>
  </conditionalFormatting>
  <conditionalFormatting sqref="F91">
    <cfRule type="expression" dxfId="695" priority="55">
      <formula>kvartal &lt; 4</formula>
    </cfRule>
  </conditionalFormatting>
  <conditionalFormatting sqref="G91">
    <cfRule type="expression" dxfId="694" priority="54">
      <formula>kvartal &lt; 4</formula>
    </cfRule>
  </conditionalFormatting>
  <conditionalFormatting sqref="F99">
    <cfRule type="expression" dxfId="693" priority="53">
      <formula>kvartal &lt; 4</formula>
    </cfRule>
  </conditionalFormatting>
  <conditionalFormatting sqref="G99">
    <cfRule type="expression" dxfId="692" priority="52">
      <formula>kvartal &lt; 4</formula>
    </cfRule>
  </conditionalFormatting>
  <conditionalFormatting sqref="G102">
    <cfRule type="expression" dxfId="691" priority="51">
      <formula>kvartal &lt; 4</formula>
    </cfRule>
  </conditionalFormatting>
  <conditionalFormatting sqref="F102">
    <cfRule type="expression" dxfId="690" priority="50">
      <formula>kvartal &lt; 4</formula>
    </cfRule>
  </conditionalFormatting>
  <conditionalFormatting sqref="J67:K71">
    <cfRule type="expression" dxfId="689" priority="49">
      <formula>kvartal &lt; 4</formula>
    </cfRule>
  </conditionalFormatting>
  <conditionalFormatting sqref="J72:K72">
    <cfRule type="expression" dxfId="688" priority="48">
      <formula>kvartal &lt; 4</formula>
    </cfRule>
  </conditionalFormatting>
  <conditionalFormatting sqref="J78:K83">
    <cfRule type="expression" dxfId="687" priority="47">
      <formula>kvartal &lt; 4</formula>
    </cfRule>
  </conditionalFormatting>
  <conditionalFormatting sqref="J88:K93">
    <cfRule type="expression" dxfId="686" priority="44">
      <formula>kvartal &lt; 4</formula>
    </cfRule>
  </conditionalFormatting>
  <conditionalFormatting sqref="J99:K104">
    <cfRule type="expression" dxfId="685" priority="43">
      <formula>kvartal &lt; 4</formula>
    </cfRule>
  </conditionalFormatting>
  <conditionalFormatting sqref="J113:K113">
    <cfRule type="expression" dxfId="684" priority="42">
      <formula>kvartal &lt; 4</formula>
    </cfRule>
  </conditionalFormatting>
  <conditionalFormatting sqref="J121:K121">
    <cfRule type="expression" dxfId="683" priority="41">
      <formula>kvartal &lt; 4</formula>
    </cfRule>
  </conditionalFormatting>
  <conditionalFormatting sqref="A23:A25">
    <cfRule type="expression" dxfId="682" priority="10">
      <formula>kvartal &lt; 4</formula>
    </cfRule>
  </conditionalFormatting>
  <conditionalFormatting sqref="A48:A50">
    <cfRule type="expression" dxfId="681" priority="9">
      <formula>kvartal &lt; 4</formula>
    </cfRule>
  </conditionalFormatting>
  <conditionalFormatting sqref="A67:A72">
    <cfRule type="expression" dxfId="680" priority="8">
      <formula>kvartal &lt; 4</formula>
    </cfRule>
  </conditionalFormatting>
  <conditionalFormatting sqref="A113">
    <cfRule type="expression" dxfId="679" priority="7">
      <formula>kvartal &lt; 4</formula>
    </cfRule>
  </conditionalFormatting>
  <conditionalFormatting sqref="A121">
    <cfRule type="expression" dxfId="678" priority="6">
      <formula>kvartal &lt; 4</formula>
    </cfRule>
  </conditionalFormatting>
  <conditionalFormatting sqref="A26">
    <cfRule type="expression" dxfId="677" priority="5">
      <formula>kvartal &lt; 4</formula>
    </cfRule>
  </conditionalFormatting>
  <conditionalFormatting sqref="A29:A31">
    <cfRule type="expression" dxfId="676" priority="4">
      <formula>kvartal &lt; 4</formula>
    </cfRule>
  </conditionalFormatting>
  <conditionalFormatting sqref="A78:A83">
    <cfRule type="expression" dxfId="675" priority="3">
      <formula>kvartal &lt; 4</formula>
    </cfRule>
  </conditionalFormatting>
  <conditionalFormatting sqref="A88:A93">
    <cfRule type="expression" dxfId="674" priority="2">
      <formula>kvartal &lt; 4</formula>
    </cfRule>
  </conditionalFormatting>
  <conditionalFormatting sqref="A99:A104">
    <cfRule type="expression" dxfId="673" priority="1">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144</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328952.20968094398</v>
      </c>
      <c r="C7" s="296">
        <v>343782.57594198798</v>
      </c>
      <c r="D7" s="336">
        <f t="shared" ref="D7:D12" si="0">IF(B7=0, "    ---- ", IF(ABS(ROUND(100/B7*C7-100,1))&lt;999,ROUND(100/B7*C7-100,1),IF(ROUND(100/B7*C7-100,1)&gt;999,999,-999)))</f>
        <v>4.5</v>
      </c>
      <c r="E7" s="11">
        <f>IFERROR(100/'Skjema total MA'!C7*C7,0)</f>
        <v>9.3946936942693355</v>
      </c>
      <c r="F7" s="295">
        <v>3916023.0825800002</v>
      </c>
      <c r="G7" s="296">
        <v>3821825.6943000001</v>
      </c>
      <c r="H7" s="336">
        <f>IF(F7=0, "    ---- ", IF(ABS(ROUND(100/F7*G7-100,1))&lt;999,ROUND(100/F7*G7-100,1),IF(ROUND(100/F7*G7-100,1)&gt;999,999,-999)))</f>
        <v>-2.4</v>
      </c>
      <c r="I7" s="157">
        <f>IFERROR(100/'Skjema total MA'!F7*G7,0)</f>
        <v>60.432536712831116</v>
      </c>
      <c r="J7" s="297">
        <f t="shared" ref="J7:K12" si="1">SUM(B7,F7)</f>
        <v>4244975.2922609439</v>
      </c>
      <c r="K7" s="298">
        <f t="shared" si="1"/>
        <v>4165608.2702419879</v>
      </c>
      <c r="L7" s="410">
        <f>IF(J7=0, "    ---- ", IF(ABS(ROUND(100/J7*K7-100,1))&lt;999,ROUND(100/J7*K7-100,1),IF(ROUND(100/J7*K7-100,1)&gt;999,999,-999)))</f>
        <v>-1.9</v>
      </c>
      <c r="M7" s="11">
        <f>IFERROR(100/'Skjema total MA'!I7*K7,0)</f>
        <v>41.725152852229833</v>
      </c>
      <c r="O7" s="145"/>
    </row>
    <row r="8" spans="1:15" ht="15.75" x14ac:dyDescent="0.2">
      <c r="A8" s="19" t="s">
        <v>26</v>
      </c>
      <c r="B8" s="278">
        <v>257735.51985443401</v>
      </c>
      <c r="C8" s="279">
        <v>268124.58820337098</v>
      </c>
      <c r="D8" s="163">
        <f t="shared" si="0"/>
        <v>4</v>
      </c>
      <c r="E8" s="25">
        <f>IFERROR(100/'Skjema total MA'!C8*C8,0)</f>
        <v>13.596129389561062</v>
      </c>
      <c r="F8" s="653"/>
      <c r="G8" s="654"/>
      <c r="H8" s="163"/>
      <c r="I8" s="173"/>
      <c r="J8" s="232">
        <f t="shared" si="1"/>
        <v>257735.51985443401</v>
      </c>
      <c r="K8" s="282">
        <f t="shared" si="1"/>
        <v>268124.58820337098</v>
      </c>
      <c r="L8" s="253"/>
      <c r="M8" s="25">
        <f>IFERROR(100/'Skjema total MA'!I8*K8,0)</f>
        <v>13.596129389561062</v>
      </c>
      <c r="O8" s="145"/>
    </row>
    <row r="9" spans="1:15" ht="15.75" x14ac:dyDescent="0.2">
      <c r="A9" s="19" t="s">
        <v>25</v>
      </c>
      <c r="B9" s="278">
        <v>65306.124964217597</v>
      </c>
      <c r="C9" s="279">
        <v>63481.152310123398</v>
      </c>
      <c r="D9" s="163">
        <f t="shared" si="0"/>
        <v>-2.8</v>
      </c>
      <c r="E9" s="25">
        <f>IFERROR(100/'Skjema total MA'!C9*C9,0)</f>
        <v>7.0693136492661974</v>
      </c>
      <c r="F9" s="653"/>
      <c r="G9" s="654"/>
      <c r="H9" s="163"/>
      <c r="I9" s="173"/>
      <c r="J9" s="232">
        <f t="shared" si="1"/>
        <v>65306.124964217597</v>
      </c>
      <c r="K9" s="282">
        <f t="shared" si="1"/>
        <v>63481.152310123398</v>
      </c>
      <c r="L9" s="253"/>
      <c r="M9" s="25">
        <f>IFERROR(100/'Skjema total MA'!I9*K9,0)</f>
        <v>7.0693136492661974</v>
      </c>
      <c r="O9" s="145"/>
    </row>
    <row r="10" spans="1:15" ht="15.75" x14ac:dyDescent="0.2">
      <c r="A10" s="13" t="s">
        <v>398</v>
      </c>
      <c r="B10" s="299">
        <v>818731.48</v>
      </c>
      <c r="C10" s="300">
        <v>778778.981439027</v>
      </c>
      <c r="D10" s="168">
        <f t="shared" si="0"/>
        <v>-4.9000000000000004</v>
      </c>
      <c r="E10" s="11">
        <f>IFERROR(100/'Skjema total MA'!C10*C10,0)</f>
        <v>3.4637118432230509</v>
      </c>
      <c r="F10" s="299">
        <v>16518054.3592587</v>
      </c>
      <c r="G10" s="300">
        <v>21573668.520050101</v>
      </c>
      <c r="H10" s="168">
        <f>IF(F10=0, "    ---- ", IF(ABS(ROUND(100/F10*G10-100,1))&lt;999,ROUND(100/F10*G10-100,1),IF(ROUND(100/F10*G10-100,1)&gt;999,999,-999)))</f>
        <v>30.6</v>
      </c>
      <c r="I10" s="157">
        <f>IFERROR(100/'Skjema total MA'!F10*G10,0)</f>
        <v>55.212867965758186</v>
      </c>
      <c r="J10" s="297">
        <f t="shared" si="1"/>
        <v>17336785.839258701</v>
      </c>
      <c r="K10" s="298">
        <f t="shared" si="1"/>
        <v>22352447.501489129</v>
      </c>
      <c r="L10" s="411">
        <f>IF(J10=0, "    ---- ", IF(ABS(ROUND(100/J10*K10-100,1))&lt;999,ROUND(100/J10*K10-100,1),IF(ROUND(100/J10*K10-100,1)&gt;999,999,-999)))</f>
        <v>28.9</v>
      </c>
      <c r="M10" s="11">
        <f>IFERROR(100/'Skjema total MA'!I10*K10,0)</f>
        <v>36.311453958795525</v>
      </c>
      <c r="O10" s="145"/>
    </row>
    <row r="11" spans="1:15" s="41" customFormat="1" ht="15.75" x14ac:dyDescent="0.2">
      <c r="A11" s="13" t="s">
        <v>399</v>
      </c>
      <c r="B11" s="299"/>
      <c r="C11" s="300"/>
      <c r="D11" s="168"/>
      <c r="E11" s="11"/>
      <c r="F11" s="299">
        <v>139895.09784999999</v>
      </c>
      <c r="G11" s="300">
        <v>81520.573950000005</v>
      </c>
      <c r="H11" s="168">
        <f>IF(F11=0, "    ---- ", IF(ABS(ROUND(100/F11*G11-100,1))&lt;999,ROUND(100/F11*G11-100,1),IF(ROUND(100/F11*G11-100,1)&gt;999,999,-999)))</f>
        <v>-41.7</v>
      </c>
      <c r="I11" s="157">
        <f>IFERROR(100/'Skjema total MA'!F11*G11,0)</f>
        <v>41.156698900679153</v>
      </c>
      <c r="J11" s="297">
        <f t="shared" si="1"/>
        <v>139895.09784999999</v>
      </c>
      <c r="K11" s="298">
        <f t="shared" si="1"/>
        <v>81520.573950000005</v>
      </c>
      <c r="L11" s="411">
        <f>IF(J11=0, "    ---- ", IF(ABS(ROUND(100/J11*K11-100,1))&lt;999,ROUND(100/J11*K11-100,1),IF(ROUND(100/J11*K11-100,1)&gt;999,999,-999)))</f>
        <v>-41.7</v>
      </c>
      <c r="M11" s="11">
        <f>IFERROR(100/'Skjema total MA'!I11*K11,0)</f>
        <v>28.752857213901912</v>
      </c>
      <c r="N11" s="140"/>
      <c r="O11" s="145"/>
    </row>
    <row r="12" spans="1:15" s="41" customFormat="1" ht="15.75" x14ac:dyDescent="0.2">
      <c r="A12" s="39" t="s">
        <v>400</v>
      </c>
      <c r="B12" s="301">
        <v>79.739999999999995</v>
      </c>
      <c r="C12" s="302">
        <v>0</v>
      </c>
      <c r="D12" s="166">
        <f t="shared" si="0"/>
        <v>-100</v>
      </c>
      <c r="E12" s="34">
        <f>IFERROR(100/'Skjema total MA'!C12*C12,0)</f>
        <v>0</v>
      </c>
      <c r="F12" s="301">
        <v>25984.802100000001</v>
      </c>
      <c r="G12" s="302">
        <v>30027.784979999898</v>
      </c>
      <c r="H12" s="166">
        <f>IF(F12=0, "    ---- ", IF(ABS(ROUND(100/F12*G12-100,1))&lt;999,ROUND(100/F12*G12-100,1),IF(ROUND(100/F12*G12-100,1)&gt;999,999,-999)))</f>
        <v>15.6</v>
      </c>
      <c r="I12" s="166">
        <f>IFERROR(100/'Skjema total MA'!F12*G12,0)</f>
        <v>30.23929852225119</v>
      </c>
      <c r="J12" s="303">
        <f t="shared" si="1"/>
        <v>26064.542100000002</v>
      </c>
      <c r="K12" s="304">
        <f t="shared" si="1"/>
        <v>30027.784979999898</v>
      </c>
      <c r="L12" s="412">
        <f>IF(J12=0, "    ---- ", IF(ABS(ROUND(100/J12*K12-100,1))&lt;999,ROUND(100/J12*K12-100,1),IF(ROUND(100/J12*K12-100,1)&gt;999,999,-999)))</f>
        <v>15.2</v>
      </c>
      <c r="M12" s="34">
        <f>IFERROR(100/'Skjema total MA'!I12*K12,0)</f>
        <v>23.66413580087416</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104259.378408736</v>
      </c>
      <c r="C22" s="306">
        <v>105263.539358514</v>
      </c>
      <c r="D22" s="336">
        <f t="shared" ref="D22:D33" si="2">IF(B22=0, "    ---- ", IF(ABS(ROUND(100/B22*C22-100,1))&lt;999,ROUND(100/B22*C22-100,1),IF(ROUND(100/B22*C22-100,1)&gt;999,999,-999)))</f>
        <v>1</v>
      </c>
      <c r="E22" s="11">
        <f>IFERROR(100/'Skjema total MA'!C22*C22,0)</f>
        <v>8.2441588038325655</v>
      </c>
      <c r="F22" s="307">
        <v>134869.16037</v>
      </c>
      <c r="G22" s="306">
        <v>112614.61185</v>
      </c>
      <c r="H22" s="336">
        <f>IF(F22=0, "    ---- ", IF(ABS(ROUND(100/F22*G22-100,1))&lt;999,ROUND(100/F22*G22-100,1),IF(ROUND(100/F22*G22-100,1)&gt;999,999,-999)))</f>
        <v>-16.5</v>
      </c>
      <c r="I22" s="11">
        <f>IFERROR(100/'Skjema total MA'!F22*G22,0)</f>
        <v>40.547089729362</v>
      </c>
      <c r="J22" s="305">
        <f>SUM(B22,F22)</f>
        <v>239128.53877873599</v>
      </c>
      <c r="K22" s="305">
        <f>SUM(C22,G22)</f>
        <v>217878.151208514</v>
      </c>
      <c r="L22" s="410">
        <f>IF(J22=0, "    ---- ", IF(ABS(ROUND(100/J22*K22-100,1))&lt;999,ROUND(100/J22*K22-100,1),IF(ROUND(100/J22*K22-100,1)&gt;999,999,-999)))</f>
        <v>-8.9</v>
      </c>
      <c r="M22" s="22">
        <f>IFERROR(100/'Skjema total MA'!I22*K22,0)</f>
        <v>14.015390408474584</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105815.973432876</v>
      </c>
      <c r="C27" s="282">
        <v>107170.113278153</v>
      </c>
      <c r="D27" s="163">
        <f t="shared" si="2"/>
        <v>1.3</v>
      </c>
      <c r="E27" s="25">
        <f>IFERROR(100/'Skjema total MA'!C27*C27,0)</f>
        <v>8.3358857893107334</v>
      </c>
      <c r="F27" s="232"/>
      <c r="G27" s="282"/>
      <c r="H27" s="163"/>
      <c r="I27" s="25"/>
      <c r="J27" s="42">
        <f>SUM(B27,F27)</f>
        <v>105815.973432876</v>
      </c>
      <c r="K27" s="42">
        <f>SUM(C27,G27)</f>
        <v>107170.113278153</v>
      </c>
      <c r="L27" s="253">
        <f>IF(J27=0, "    ---- ", IF(ABS(ROUND(100/J27*K27-100,1))&lt;999,ROUND(100/J27*K27-100,1),IF(ROUND(100/J27*K27-100,1)&gt;999,999,-999)))</f>
        <v>1.3</v>
      </c>
      <c r="M27" s="21">
        <f>IFERROR(100/'Skjema total MA'!I27*K27,0)</f>
        <v>8.3358857893107334</v>
      </c>
      <c r="O27" s="145"/>
    </row>
    <row r="28" spans="1:15" s="3" customFormat="1" ht="15.75" x14ac:dyDescent="0.2">
      <c r="A28" s="13" t="s">
        <v>398</v>
      </c>
      <c r="B28" s="234">
        <v>4226956.62</v>
      </c>
      <c r="C28" s="298">
        <v>4076691.16433807</v>
      </c>
      <c r="D28" s="168">
        <f t="shared" si="2"/>
        <v>-3.6</v>
      </c>
      <c r="E28" s="11">
        <f>IFERROR(100/'Skjema total MA'!C28*C28,0)</f>
        <v>7.9767288297866337</v>
      </c>
      <c r="F28" s="297">
        <v>3075072.44</v>
      </c>
      <c r="G28" s="298">
        <v>3450360.84</v>
      </c>
      <c r="H28" s="168">
        <f>IF(F28=0, "    ---- ", IF(ABS(ROUND(100/F28*G28-100,1))&lt;999,ROUND(100/F28*G28-100,1),IF(ROUND(100/F28*G28-100,1)&gt;999,999,-999)))</f>
        <v>12.2</v>
      </c>
      <c r="I28" s="11">
        <f>IFERROR(100/'Skjema total MA'!F28*G28,0)</f>
        <v>17.659911206810985</v>
      </c>
      <c r="J28" s="234">
        <f>SUM(B28,F28)</f>
        <v>7302029.0600000005</v>
      </c>
      <c r="K28" s="234">
        <f>SUM(C28,G28)</f>
        <v>7527052.0043380698</v>
      </c>
      <c r="L28" s="411">
        <f>IF(J28=0, "    ---- ", IF(ABS(ROUND(100/J28*K28-100,1))&lt;999,ROUND(100/J28*K28-100,1),IF(ROUND(100/J28*K28-100,1)&gt;999,999,-999)))</f>
        <v>3.1</v>
      </c>
      <c r="M28" s="22">
        <f>IFERROR(100/'Skjema total MA'!I28*K28,0)</f>
        <v>10.654737263493031</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v>958.4</v>
      </c>
      <c r="C32" s="298">
        <v>2407.97694</v>
      </c>
      <c r="D32" s="168">
        <f t="shared" si="2"/>
        <v>151.19999999999999</v>
      </c>
      <c r="E32" s="11">
        <f>IFERROR(100/'Skjema total MA'!C32*C32,0)</f>
        <v>6.8911006625011382</v>
      </c>
      <c r="F32" s="297">
        <v>816.43237999999997</v>
      </c>
      <c r="G32" s="298">
        <v>12708.0178</v>
      </c>
      <c r="H32" s="168">
        <f>IF(F32=0, "    ---- ", IF(ABS(ROUND(100/F32*G32-100,1))&lt;999,ROUND(100/F32*G32-100,1),IF(ROUND(100/F32*G32-100,1)&gt;999,999,-999)))</f>
        <v>999</v>
      </c>
      <c r="I32" s="11">
        <f>IFERROR(100/'Skjema total MA'!F32*G32,0)</f>
        <v>165.25537585660987</v>
      </c>
      <c r="J32" s="234">
        <f t="shared" ref="J32:K33" si="3">SUM(B32,F32)</f>
        <v>1774.8323799999998</v>
      </c>
      <c r="K32" s="234">
        <f t="shared" si="3"/>
        <v>15115.99474</v>
      </c>
      <c r="L32" s="411">
        <f>IF(J32=0, "    ---- ", IF(ABS(ROUND(100/J32*K32-100,1))&lt;999,ROUND(100/J32*K32-100,1),IF(ROUND(100/J32*K32-100,1)&gt;999,999,-999)))</f>
        <v>751.7</v>
      </c>
      <c r="M32" s="22">
        <f>IFERROR(100/'Skjema total MA'!I32*K32,0)</f>
        <v>35.455913465263571</v>
      </c>
      <c r="O32" s="145"/>
    </row>
    <row r="33" spans="1:15" ht="15.75" x14ac:dyDescent="0.2">
      <c r="A33" s="13" t="s">
        <v>400</v>
      </c>
      <c r="B33" s="234">
        <v>-1348.03</v>
      </c>
      <c r="C33" s="298">
        <v>0</v>
      </c>
      <c r="D33" s="168">
        <f t="shared" si="2"/>
        <v>-100</v>
      </c>
      <c r="E33" s="11">
        <f>IFERROR(100/'Skjema total MA'!C33*C33,0)</f>
        <v>0</v>
      </c>
      <c r="F33" s="297">
        <v>5718.5412999999999</v>
      </c>
      <c r="G33" s="298">
        <v>11778.678099999999</v>
      </c>
      <c r="H33" s="168">
        <f>IF(F33=0, "    ---- ", IF(ABS(ROUND(100/F33*G33-100,1))&lt;999,ROUND(100/F33*G33-100,1),IF(ROUND(100/F33*G33-100,1)&gt;999,999,-999)))</f>
        <v>106</v>
      </c>
      <c r="I33" s="11">
        <f>IFERROR(100/'Skjema total MA'!F33*G33,0)</f>
        <v>14.362691435843113</v>
      </c>
      <c r="J33" s="234">
        <f t="shared" si="3"/>
        <v>4370.5113000000001</v>
      </c>
      <c r="K33" s="234">
        <f t="shared" si="3"/>
        <v>11778.678099999999</v>
      </c>
      <c r="L33" s="411">
        <f>IF(J33=0, "    ---- ", IF(ABS(ROUND(100/J33*K33-100,1))&lt;999,ROUND(100/J33*K33-100,1),IF(ROUND(100/J33*K33-100,1)&gt;999,999,-999)))</f>
        <v>169.5</v>
      </c>
      <c r="M33" s="22">
        <f>IFERROR(100/'Skjema total MA'!I33*K33,0)</f>
        <v>47.75517514350998</v>
      </c>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1308204</v>
      </c>
      <c r="C64" s="338">
        <v>760039.35100000002</v>
      </c>
      <c r="D64" s="336">
        <f>IF(B64=0, "    ---- ", IF(ABS(ROUND(100/B64*C64-100,1))&lt;999,ROUND(100/B64*C64-100,1),IF(ROUND(100/B64*C64-100,1)&gt;999,999,-999)))</f>
        <v>-41.9</v>
      </c>
      <c r="E64" s="11">
        <f>IFERROR(100/'Skjema total MA'!C64*C64,0)</f>
        <v>11.19741176353175</v>
      </c>
      <c r="F64" s="337">
        <v>2308269.6570000001</v>
      </c>
      <c r="G64" s="337">
        <v>2658383.3689999999</v>
      </c>
      <c r="H64" s="336">
        <f>IF(F64=0, "    ---- ", IF(ABS(ROUND(100/F64*G64-100,1))&lt;999,ROUND(100/F64*G64-100,1),IF(ROUND(100/F64*G64-100,1)&gt;999,999,-999)))</f>
        <v>15.2</v>
      </c>
      <c r="I64" s="11">
        <f>IFERROR(100/'Skjema total MA'!F64*G64,0)</f>
        <v>13.504707837054193</v>
      </c>
      <c r="J64" s="298">
        <f t="shared" ref="J64:K66" si="4">SUM(B64,F64)</f>
        <v>3616473.6570000001</v>
      </c>
      <c r="K64" s="305">
        <f t="shared" si="4"/>
        <v>3418422.7199999997</v>
      </c>
      <c r="L64" s="411">
        <f>IF(J64=0, "    ---- ", IF(ABS(ROUND(100/J64*K64-100,1))&lt;999,ROUND(100/J64*K64-100,1),IF(ROUND(100/J64*K64-100,1)&gt;999,999,-999)))</f>
        <v>-5.5</v>
      </c>
      <c r="M64" s="11">
        <f>IFERROR(100/'Skjema total MA'!I64*K64,0)</f>
        <v>12.91310965695147</v>
      </c>
      <c r="O64" s="145"/>
    </row>
    <row r="65" spans="1:15" x14ac:dyDescent="0.2">
      <c r="A65" s="402" t="s">
        <v>9</v>
      </c>
      <c r="B65" s="42">
        <v>1276197</v>
      </c>
      <c r="C65" s="142">
        <v>739922.35100000002</v>
      </c>
      <c r="D65" s="163">
        <f>IF(B65=0, "    ---- ", IF(ABS(ROUND(100/B65*C65-100,1))&lt;999,ROUND(100/B65*C65-100,1),IF(ROUND(100/B65*C65-100,1)&gt;999,999,-999)))</f>
        <v>-42</v>
      </c>
      <c r="E65" s="25">
        <f>IFERROR(100/'Skjema total MA'!C65*C65,0)</f>
        <v>11.465790747165297</v>
      </c>
      <c r="F65" s="232"/>
      <c r="G65" s="142"/>
      <c r="H65" s="163"/>
      <c r="I65" s="25"/>
      <c r="J65" s="282">
        <f t="shared" si="4"/>
        <v>1276197</v>
      </c>
      <c r="K65" s="42">
        <f t="shared" si="4"/>
        <v>739922.35100000002</v>
      </c>
      <c r="L65" s="253">
        <f>IF(J65=0, "    ---- ", IF(ABS(ROUND(100/J65*K65-100,1))&lt;999,ROUND(100/J65*K65-100,1),IF(ROUND(100/J65*K65-100,1)&gt;999,999,-999)))</f>
        <v>-42</v>
      </c>
      <c r="M65" s="25">
        <f>IFERROR(100/'Skjema total MA'!I65*K65,0)</f>
        <v>11.465790747165297</v>
      </c>
      <c r="O65" s="145"/>
    </row>
    <row r="66" spans="1:15" x14ac:dyDescent="0.2">
      <c r="A66" s="19" t="s">
        <v>10</v>
      </c>
      <c r="B66" s="284">
        <v>32007</v>
      </c>
      <c r="C66" s="285">
        <v>20117</v>
      </c>
      <c r="D66" s="163">
        <f>IF(B66=0, "    ---- ", IF(ABS(ROUND(100/B66*C66-100,1))&lt;999,ROUND(100/B66*C66-100,1),IF(ROUND(100/B66*C66-100,1)&gt;999,999,-999)))</f>
        <v>-37.1</v>
      </c>
      <c r="E66" s="25">
        <f>IFERROR(100/'Skjema total MA'!C66*C66,0)</f>
        <v>14.582770761831364</v>
      </c>
      <c r="F66" s="284">
        <v>2308269.6570000001</v>
      </c>
      <c r="G66" s="285">
        <v>2658383.3689999999</v>
      </c>
      <c r="H66" s="163">
        <f>IF(F66=0, "    ---- ", IF(ABS(ROUND(100/F66*G66-100,1))&lt;999,ROUND(100/F66*G66-100,1),IF(ROUND(100/F66*G66-100,1)&gt;999,999,-999)))</f>
        <v>15.2</v>
      </c>
      <c r="I66" s="25">
        <f>IFERROR(100/'Skjema total MA'!F66*G66,0)</f>
        <v>13.659186441121397</v>
      </c>
      <c r="J66" s="282">
        <f t="shared" si="4"/>
        <v>2340276.6570000001</v>
      </c>
      <c r="K66" s="42">
        <f t="shared" si="4"/>
        <v>2678500.3689999999</v>
      </c>
      <c r="L66" s="253">
        <f>IF(J66=0, "    ---- ", IF(ABS(ROUND(100/J66*K66-100,1))&lt;999,ROUND(100/J66*K66-100,1),IF(ROUND(100/J66*K66-100,1)&gt;999,999,-999)))</f>
        <v>14.5</v>
      </c>
      <c r="M66" s="25">
        <f>IFERROR(100/'Skjema total MA'!I66*K66,0)</f>
        <v>13.665686831997682</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v>0</v>
      </c>
      <c r="C74" s="142">
        <v>183781.649</v>
      </c>
      <c r="D74" s="163" t="str">
        <f>IF(B74=0, "    ---- ", IF(ABS(ROUND(100/B74*C74-100,1))&lt;999,ROUND(100/B74*C74-100,1),IF(ROUND(100/B74*C74-100,1)&gt;999,999,-999)))</f>
        <v xml:space="preserve">    ---- </v>
      </c>
      <c r="E74" s="25">
        <f>IFERROR(100/'Skjema total MA'!C75*C74,0)</f>
        <v>2.8772614162767738</v>
      </c>
      <c r="F74" s="232"/>
      <c r="G74" s="142"/>
      <c r="H74" s="163"/>
      <c r="I74" s="25"/>
      <c r="J74" s="282">
        <f t="shared" ref="J74:K77" si="5">SUM(B74,F74)</f>
        <v>0</v>
      </c>
      <c r="K74" s="42">
        <f t="shared" si="5"/>
        <v>183781.649</v>
      </c>
      <c r="L74" s="253" t="str">
        <f>IF(J74=0, "    ---- ", IF(ABS(ROUND(100/J74*K74-100,1))&lt;999,ROUND(100/J74*K74-100,1),IF(ROUND(100/J74*K74-100,1)&gt;999,999,-999)))</f>
        <v xml:space="preserve">    ---- </v>
      </c>
      <c r="M74" s="25">
        <f>IFERROR(100/'Skjema total MA'!I75*K74,0)</f>
        <v>0.71123191041696532</v>
      </c>
      <c r="N74" s="145"/>
      <c r="O74" s="145"/>
    </row>
    <row r="75" spans="1:15" ht="15.75" x14ac:dyDescent="0.2">
      <c r="A75" s="19" t="s">
        <v>413</v>
      </c>
      <c r="B75" s="232">
        <v>1295495.673</v>
      </c>
      <c r="C75" s="232">
        <v>748529.57499999995</v>
      </c>
      <c r="D75" s="163">
        <f>IF(B75=0, "    ---- ", IF(ABS(ROUND(100/B75*C75-100,1))&lt;999,ROUND(100/B75*C75-100,1),IF(ROUND(100/B75*C75-100,1)&gt;999,999,-999)))</f>
        <v>-42.2</v>
      </c>
      <c r="E75" s="25">
        <f>IFERROR(100/'Skjema total MA'!C75*C75,0)</f>
        <v>11.718880948171007</v>
      </c>
      <c r="F75" s="232">
        <v>2305321.3840000001</v>
      </c>
      <c r="G75" s="142">
        <v>2655265.9509999999</v>
      </c>
      <c r="H75" s="163">
        <f>IF(F75=0, "    ---- ", IF(ABS(ROUND(100/F75*G75-100,1))&lt;999,ROUND(100/F75*G75-100,1),IF(ROUND(100/F75*G75-100,1)&gt;999,999,-999)))</f>
        <v>15.2</v>
      </c>
      <c r="I75" s="25">
        <f>IFERROR(100/'Skjema total MA'!F75*G75,0)</f>
        <v>13.64998171817539</v>
      </c>
      <c r="J75" s="282">
        <f t="shared" si="5"/>
        <v>3600817.057</v>
      </c>
      <c r="K75" s="42">
        <f t="shared" si="5"/>
        <v>3403795.5259999996</v>
      </c>
      <c r="L75" s="253">
        <f>IF(J75=0, "    ---- ", IF(ABS(ROUND(100/J75*K75-100,1))&lt;999,ROUND(100/J75*K75-100,1),IF(ROUND(100/J75*K75-100,1)&gt;999,999,-999)))</f>
        <v>-5.5</v>
      </c>
      <c r="M75" s="25">
        <f>IFERROR(100/'Skjema total MA'!I75*K75,0)</f>
        <v>13.172631804091054</v>
      </c>
      <c r="O75" s="145"/>
    </row>
    <row r="76" spans="1:15" x14ac:dyDescent="0.2">
      <c r="A76" s="19" t="s">
        <v>9</v>
      </c>
      <c r="B76" s="232">
        <v>1266437.385</v>
      </c>
      <c r="C76" s="142">
        <v>731530.58499999996</v>
      </c>
      <c r="D76" s="163">
        <f>IF(B76=0, "    ---- ", IF(ABS(ROUND(100/B76*C76-100,1))&lt;999,ROUND(100/B76*C76-100,1),IF(ROUND(100/B76*C76-100,1)&gt;999,999,-999)))</f>
        <v>-42.2</v>
      </c>
      <c r="E76" s="25">
        <f>IFERROR(100/'Skjema total MA'!C76*C76,0)</f>
        <v>11.699718599067657</v>
      </c>
      <c r="F76" s="232"/>
      <c r="G76" s="142"/>
      <c r="H76" s="163"/>
      <c r="I76" s="25"/>
      <c r="J76" s="282">
        <f t="shared" si="5"/>
        <v>1266437.385</v>
      </c>
      <c r="K76" s="42">
        <f t="shared" si="5"/>
        <v>731530.58499999996</v>
      </c>
      <c r="L76" s="253">
        <f>IF(J76=0, "    ---- ", IF(ABS(ROUND(100/J76*K76-100,1))&lt;999,ROUND(100/J76*K76-100,1),IF(ROUND(100/J76*K76-100,1)&gt;999,999,-999)))</f>
        <v>-42.2</v>
      </c>
      <c r="M76" s="25">
        <f>IFERROR(100/'Skjema total MA'!I76*K76,0)</f>
        <v>11.699718599067657</v>
      </c>
      <c r="O76" s="145"/>
    </row>
    <row r="77" spans="1:15" x14ac:dyDescent="0.2">
      <c r="A77" s="19" t="s">
        <v>10</v>
      </c>
      <c r="B77" s="284">
        <v>29058.288</v>
      </c>
      <c r="C77" s="285">
        <v>16998.990000000002</v>
      </c>
      <c r="D77" s="163">
        <f>IF(B77=0, "    ---- ", IF(ABS(ROUND(100/B77*C77-100,1))&lt;999,ROUND(100/B77*C77-100,1),IF(ROUND(100/B77*C77-100,1)&gt;999,999,-999)))</f>
        <v>-41.5</v>
      </c>
      <c r="E77" s="25">
        <f>IFERROR(100/'Skjema total MA'!C77*C77,0)</f>
        <v>12.607491323627501</v>
      </c>
      <c r="F77" s="284">
        <v>2305321.3840000001</v>
      </c>
      <c r="G77" s="285">
        <v>2655265.9509999999</v>
      </c>
      <c r="H77" s="163">
        <f>IF(F77=0, "    ---- ", IF(ABS(ROUND(100/F77*G77-100,1))&lt;999,ROUND(100/F77*G77-100,1),IF(ROUND(100/F77*G77-100,1)&gt;999,999,-999)))</f>
        <v>15.2</v>
      </c>
      <c r="I77" s="25">
        <f>IFERROR(100/'Skjema total MA'!F77*G77,0)</f>
        <v>13.64998171817539</v>
      </c>
      <c r="J77" s="282">
        <f t="shared" si="5"/>
        <v>2334379.6720000003</v>
      </c>
      <c r="K77" s="42">
        <f t="shared" si="5"/>
        <v>2672264.9410000001</v>
      </c>
      <c r="L77" s="253">
        <f>IF(J77=0, "    ---- ", IF(ABS(ROUND(100/J77*K77-100,1))&lt;999,ROUND(100/J77*K77-100,1),IF(ROUND(100/J77*K77-100,1)&gt;999,999,-999)))</f>
        <v>14.5</v>
      </c>
      <c r="M77" s="25">
        <f>IFERROR(100/'Skjema total MA'!I77*K77,0)</f>
        <v>13.642805581876461</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v>12708.326999999999</v>
      </c>
      <c r="C84" s="142">
        <v>11509.776</v>
      </c>
      <c r="D84" s="163">
        <f>IF(B84=0, "    ---- ", IF(ABS(ROUND(100/B84*C84-100,1))&lt;999,ROUND(100/B84*C84-100,1),IF(ROUND(100/B84*C84-100,1)&gt;999,999,-999)))</f>
        <v>-9.4</v>
      </c>
      <c r="E84" s="25">
        <f>IFERROR(100/'Skjema total MA'!C84*C84,0)</f>
        <v>5.6455444459335489</v>
      </c>
      <c r="F84" s="232">
        <v>2948.2730000000001</v>
      </c>
      <c r="G84" s="142">
        <v>3117.4180000000001</v>
      </c>
      <c r="H84" s="163">
        <f>IF(F84=0, "    ---- ", IF(ABS(ROUND(100/F84*G84-100,1))&lt;999,ROUND(100/F84*G84-100,1),IF(ROUND(100/F84*G84-100,1)&gt;999,999,-999)))</f>
        <v>5.7</v>
      </c>
      <c r="I84" s="25">
        <f>IFERROR(100/'Skjema total MA'!F84*G84,0)</f>
        <v>32.091680140371132</v>
      </c>
      <c r="J84" s="282">
        <f t="shared" ref="J84:K87" si="6">SUM(B84,F84)</f>
        <v>15656.599999999999</v>
      </c>
      <c r="K84" s="42">
        <f t="shared" si="6"/>
        <v>14627.194</v>
      </c>
      <c r="L84" s="253">
        <f>IF(J84=0, "    ---- ", IF(ABS(ROUND(100/J84*K84-100,1))&lt;999,ROUND(100/J84*K84-100,1),IF(ROUND(100/J84*K84-100,1)&gt;999,999,-999)))</f>
        <v>-6.6</v>
      </c>
      <c r="M84" s="25">
        <f>IFERROR(100/'Skjema total MA'!I84*K84,0)</f>
        <v>6.8483308746964697</v>
      </c>
      <c r="O84" s="145"/>
    </row>
    <row r="85" spans="1:15" ht="15.75" x14ac:dyDescent="0.2">
      <c r="A85" s="13" t="s">
        <v>398</v>
      </c>
      <c r="B85" s="338">
        <v>43280111.910000004</v>
      </c>
      <c r="C85" s="338">
        <v>44657037.706222877</v>
      </c>
      <c r="D85" s="168">
        <f>IF(B85=0, "    ---- ", IF(ABS(ROUND(100/B85*C85-100,1))&lt;999,ROUND(100/B85*C85-100,1),IF(ROUND(100/B85*C85-100,1)&gt;999,999,-999)))</f>
        <v>3.2</v>
      </c>
      <c r="E85" s="11">
        <f>IFERROR(100/'Skjema total MA'!C85*C85,0)</f>
        <v>11.887267012960807</v>
      </c>
      <c r="F85" s="337">
        <v>24659863.200741298</v>
      </c>
      <c r="G85" s="337">
        <v>29623540.639949899</v>
      </c>
      <c r="H85" s="168">
        <f>IF(F85=0, "    ---- ", IF(ABS(ROUND(100/F85*G85-100,1))&lt;999,ROUND(100/F85*G85-100,1),IF(ROUND(100/F85*G85-100,1)&gt;999,999,-999)))</f>
        <v>20.100000000000001</v>
      </c>
      <c r="I85" s="11">
        <f>IFERROR(100/'Skjema total MA'!F85*G85,0)</f>
        <v>14.071039322815428</v>
      </c>
      <c r="J85" s="298">
        <f t="shared" si="6"/>
        <v>67939975.110741302</v>
      </c>
      <c r="K85" s="234">
        <f t="shared" si="6"/>
        <v>74280578.34617278</v>
      </c>
      <c r="L85" s="411">
        <f>IF(J85=0, "    ---- ", IF(ABS(ROUND(100/J85*K85-100,1))&lt;999,ROUND(100/J85*K85-100,1),IF(ROUND(100/J85*K85-100,1)&gt;999,999,-999)))</f>
        <v>9.3000000000000007</v>
      </c>
      <c r="M85" s="11">
        <f>IFERROR(100/'Skjema total MA'!I85*K85,0)</f>
        <v>12.671549641309467</v>
      </c>
      <c r="O85" s="145"/>
    </row>
    <row r="86" spans="1:15" x14ac:dyDescent="0.2">
      <c r="A86" s="19" t="s">
        <v>9</v>
      </c>
      <c r="B86" s="232">
        <v>42151602.700000003</v>
      </c>
      <c r="C86" s="142">
        <v>43584984.9818893</v>
      </c>
      <c r="D86" s="163">
        <f>IF(B86=0, "    ---- ", IF(ABS(ROUND(100/B86*C86-100,1))&lt;999,ROUND(100/B86*C86-100,1),IF(ROUND(100/B86*C86-100,1)&gt;999,999,-999)))</f>
        <v>3.4</v>
      </c>
      <c r="E86" s="25">
        <f>IFERROR(100/'Skjema total MA'!C86*C86,0)</f>
        <v>11.689942778913244</v>
      </c>
      <c r="F86" s="232"/>
      <c r="G86" s="142"/>
      <c r="H86" s="163"/>
      <c r="I86" s="25"/>
      <c r="J86" s="282">
        <f t="shared" si="6"/>
        <v>42151602.700000003</v>
      </c>
      <c r="K86" s="42">
        <f t="shared" si="6"/>
        <v>43584984.9818893</v>
      </c>
      <c r="L86" s="253">
        <f>IF(J86=0, "    ---- ", IF(ABS(ROUND(100/J86*K86-100,1))&lt;999,ROUND(100/J86*K86-100,1),IF(ROUND(100/J86*K86-100,1)&gt;999,999,-999)))</f>
        <v>3.4</v>
      </c>
      <c r="M86" s="25">
        <f>IFERROR(100/'Skjema total MA'!I86*K86,0)</f>
        <v>11.689942778913244</v>
      </c>
      <c r="O86" s="145"/>
    </row>
    <row r="87" spans="1:15" x14ac:dyDescent="0.2">
      <c r="A87" s="19" t="s">
        <v>10</v>
      </c>
      <c r="B87" s="232">
        <v>1128509.21</v>
      </c>
      <c r="C87" s="142">
        <v>1072052.7243335799</v>
      </c>
      <c r="D87" s="163">
        <f>IF(B87=0, "    ---- ", IF(ABS(ROUND(100/B87*C87-100,1))&lt;999,ROUND(100/B87*C87-100,1),IF(ROUND(100/B87*C87-100,1)&gt;999,999,-999)))</f>
        <v>-5</v>
      </c>
      <c r="E87" s="25">
        <f>IFERROR(100/'Skjema total MA'!C87*C87,0)</f>
        <v>42.847237842170976</v>
      </c>
      <c r="F87" s="232">
        <v>24659863.200741298</v>
      </c>
      <c r="G87" s="142">
        <v>29623540.639949899</v>
      </c>
      <c r="H87" s="163">
        <f>IF(F87=0, "    ---- ", IF(ABS(ROUND(100/F87*G87-100,1))&lt;999,ROUND(100/F87*G87-100,1),IF(ROUND(100/F87*G87-100,1)&gt;999,999,-999)))</f>
        <v>20.100000000000001</v>
      </c>
      <c r="I87" s="25">
        <f>IFERROR(100/'Skjema total MA'!F87*G87,0)</f>
        <v>14.112351124006667</v>
      </c>
      <c r="J87" s="282">
        <f t="shared" si="6"/>
        <v>25788372.410741299</v>
      </c>
      <c r="K87" s="42">
        <f t="shared" si="6"/>
        <v>30695593.36428348</v>
      </c>
      <c r="L87" s="253">
        <f>IF(J87=0, "    ---- ", IF(ABS(ROUND(100/J87*K87-100,1))&lt;999,ROUND(100/J87*K87-100,1),IF(ROUND(100/J87*K87-100,1)&gt;999,999,-999)))</f>
        <v>19</v>
      </c>
      <c r="M87" s="25">
        <f>IFERROR(100/'Skjema total MA'!I87*K87,0)</f>
        <v>14.450820417552896</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v>0</v>
      </c>
      <c r="C95" s="142">
        <v>6447.2309999999998</v>
      </c>
      <c r="D95" s="163" t="str">
        <f>IF(B95=0, "    ---- ", IF(ABS(ROUND(100/B95*C95-100,1))&lt;999,ROUND(100/B95*C95-100,1),IF(ROUND(100/B95*C95-100,1)&gt;999,999,-999)))</f>
        <v xml:space="preserve">    ---- </v>
      </c>
      <c r="E95" s="25">
        <f>IFERROR(100/'Skjema total MA'!C96*C95,0)</f>
        <v>1.7403406476567997E-3</v>
      </c>
      <c r="F95" s="232"/>
      <c r="G95" s="142"/>
      <c r="H95" s="163"/>
      <c r="I95" s="25"/>
      <c r="J95" s="282">
        <f t="shared" ref="J95:K98" si="7">SUM(B95,F95)</f>
        <v>0</v>
      </c>
      <c r="K95" s="42">
        <f t="shared" si="7"/>
        <v>6447.2309999999998</v>
      </c>
      <c r="L95" s="253" t="str">
        <f>IF(J95=0, "    ---- ", IF(ABS(ROUND(100/J95*K95-100,1))&lt;999,ROUND(100/J95*K95-100,1),IF(ROUND(100/J95*K95-100,1)&gt;999,999,-999)))</f>
        <v xml:space="preserve">    ---- </v>
      </c>
      <c r="M95" s="25">
        <f>IFERROR(100/'Skjema total MA'!I96*K95,0)</f>
        <v>1.1119354936939886E-3</v>
      </c>
      <c r="O95" s="145"/>
    </row>
    <row r="96" spans="1:15" ht="15.75" x14ac:dyDescent="0.2">
      <c r="A96" s="19" t="s">
        <v>413</v>
      </c>
      <c r="B96" s="232">
        <v>43254996.509999998</v>
      </c>
      <c r="C96" s="232">
        <v>44603012.481222875</v>
      </c>
      <c r="D96" s="163">
        <f>IF(B96=0, "    ---- ", IF(ABS(ROUND(100/B96*C96-100,1))&lt;999,ROUND(100/B96*C96-100,1),IF(ROUND(100/B96*C96-100,1)&gt;999,999,-999)))</f>
        <v>3.1</v>
      </c>
      <c r="E96" s="25">
        <f>IFERROR(100/'Skjema total MA'!C96*C96,0)</f>
        <v>12.03996500653005</v>
      </c>
      <c r="F96" s="284">
        <v>24649450.0637413</v>
      </c>
      <c r="G96" s="284">
        <v>29603632.936949901</v>
      </c>
      <c r="H96" s="163">
        <f>IF(F96=0, "    ---- ", IF(ABS(ROUND(100/F96*G96-100,1))&lt;999,ROUND(100/F96*G96-100,1),IF(ROUND(100/F96*G96-100,1)&gt;999,999,-999)))</f>
        <v>20.100000000000001</v>
      </c>
      <c r="I96" s="25">
        <f>IFERROR(100/'Skjema total MA'!F96*G96,0)</f>
        <v>14.139885689177907</v>
      </c>
      <c r="J96" s="282">
        <f t="shared" si="7"/>
        <v>67904446.573741302</v>
      </c>
      <c r="K96" s="42">
        <f t="shared" si="7"/>
        <v>74206645.418172777</v>
      </c>
      <c r="L96" s="253">
        <f>IF(J96=0, "    ---- ", IF(ABS(ROUND(100/J96*K96-100,1))&lt;999,ROUND(100/J96*K96-100,1),IF(ROUND(100/J96*K96-100,1)&gt;999,999,-999)))</f>
        <v>9.3000000000000007</v>
      </c>
      <c r="M96" s="25">
        <f>IFERROR(100/'Skjema total MA'!I96*K96,0)</f>
        <v>12.798207929641531</v>
      </c>
      <c r="O96" s="145"/>
    </row>
    <row r="97" spans="1:15" x14ac:dyDescent="0.2">
      <c r="A97" s="19" t="s">
        <v>9</v>
      </c>
      <c r="B97" s="284">
        <v>42126487.299999997</v>
      </c>
      <c r="C97" s="285">
        <v>43530959.756889299</v>
      </c>
      <c r="D97" s="163">
        <f>IF(B97=0, "    ---- ", IF(ABS(ROUND(100/B97*C97-100,1))&lt;999,ROUND(100/B97*C97-100,1),IF(ROUND(100/B97*C97-100,1)&gt;999,999,-999)))</f>
        <v>3.3</v>
      </c>
      <c r="E97" s="25">
        <f>IFERROR(100/'Skjema total MA'!C97*C97,0)</f>
        <v>11.830481067404758</v>
      </c>
      <c r="F97" s="232"/>
      <c r="G97" s="142"/>
      <c r="H97" s="163"/>
      <c r="I97" s="25"/>
      <c r="J97" s="282">
        <f t="shared" si="7"/>
        <v>42126487.299999997</v>
      </c>
      <c r="K97" s="42">
        <f t="shared" si="7"/>
        <v>43530959.756889299</v>
      </c>
      <c r="L97" s="253">
        <f>IF(J97=0, "    ---- ", IF(ABS(ROUND(100/J97*K97-100,1))&lt;999,ROUND(100/J97*K97-100,1),IF(ROUND(100/J97*K97-100,1)&gt;999,999,-999)))</f>
        <v>3.3</v>
      </c>
      <c r="M97" s="25">
        <f>IFERROR(100/'Skjema total MA'!I97*K97,0)</f>
        <v>11.830481067404758</v>
      </c>
      <c r="O97" s="145"/>
    </row>
    <row r="98" spans="1:15" x14ac:dyDescent="0.2">
      <c r="A98" s="19" t="s">
        <v>10</v>
      </c>
      <c r="B98" s="284">
        <v>1128509.21</v>
      </c>
      <c r="C98" s="285">
        <v>1072052.7243335799</v>
      </c>
      <c r="D98" s="163">
        <f>IF(B98=0, "    ---- ", IF(ABS(ROUND(100/B98*C98-100,1))&lt;999,ROUND(100/B98*C98-100,1),IF(ROUND(100/B98*C98-100,1)&gt;999,999,-999)))</f>
        <v>-5</v>
      </c>
      <c r="E98" s="25">
        <f>IFERROR(100/'Skjema total MA'!C98*C98,0)</f>
        <v>42.847237842170976</v>
      </c>
      <c r="F98" s="232">
        <v>24649450.0637413</v>
      </c>
      <c r="G98" s="232">
        <v>29603632.936949901</v>
      </c>
      <c r="H98" s="163">
        <f>IF(F98=0, "    ---- ", IF(ABS(ROUND(100/F98*G98-100,1))&lt;999,ROUND(100/F98*G98-100,1),IF(ROUND(100/F98*G98-100,1)&gt;999,999,-999)))</f>
        <v>20.100000000000001</v>
      </c>
      <c r="I98" s="25">
        <f>IFERROR(100/'Skjema total MA'!F98*G98,0)</f>
        <v>14.139885689177907</v>
      </c>
      <c r="J98" s="282">
        <f t="shared" si="7"/>
        <v>25777959.273741301</v>
      </c>
      <c r="K98" s="42">
        <f t="shared" si="7"/>
        <v>30675685.661283482</v>
      </c>
      <c r="L98" s="253">
        <f>IF(J98=0, "    ---- ", IF(ABS(ROUND(100/J98*K98-100,1))&lt;999,ROUND(100/J98*K98-100,1),IF(ROUND(100/J98*K98-100,1)&gt;999,999,-999)))</f>
        <v>19</v>
      </c>
      <c r="M98" s="25">
        <f>IFERROR(100/'Skjema total MA'!I98*K98,0)</f>
        <v>14.478907761277929</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v>25115.4</v>
      </c>
      <c r="C105" s="142">
        <v>54025.224999999999</v>
      </c>
      <c r="D105" s="163">
        <f>IF(B105=0, "    ---- ", IF(ABS(ROUND(100/B105*C105-100,1))&lt;999,ROUND(100/B105*C105-100,1),IF(ROUND(100/B105*C105-100,1)&gt;999,999,-999)))</f>
        <v>115.1</v>
      </c>
      <c r="E105" s="25">
        <f>IFERROR(100/'Skjema total MA'!C105*C105,0)</f>
        <v>1.1057658597285374</v>
      </c>
      <c r="F105" s="232">
        <v>10413.137000000001</v>
      </c>
      <c r="G105" s="142">
        <v>19907.703000000001</v>
      </c>
      <c r="H105" s="163">
        <f>IF(F105=0, "    ---- ", IF(ABS(ROUND(100/F105*G105-100,1))&lt;999,ROUND(100/F105*G105-100,1),IF(ROUND(100/F105*G105-100,1)&gt;999,999,-999)))</f>
        <v>91.2</v>
      </c>
      <c r="I105" s="25">
        <f>IFERROR(100/'Skjema total MA'!F105*G105,0)</f>
        <v>3.6225294427597787</v>
      </c>
      <c r="J105" s="282">
        <f t="shared" ref="J105:K109" si="8">SUM(B105,F105)</f>
        <v>35528.537000000004</v>
      </c>
      <c r="K105" s="42">
        <f t="shared" si="8"/>
        <v>73932.928</v>
      </c>
      <c r="L105" s="253">
        <f>IF(J105=0, "    ---- ", IF(ABS(ROUND(100/J105*K105-100,1))&lt;999,ROUND(100/J105*K105-100,1),IF(ROUND(100/J105*K105-100,1)&gt;999,999,-999)))</f>
        <v>108.1</v>
      </c>
      <c r="M105" s="25">
        <f>IFERROR(100/'Skjema total MA'!I105*K105,0)</f>
        <v>1.3602296424858378</v>
      </c>
      <c r="O105" s="145"/>
    </row>
    <row r="106" spans="1:15" ht="15.75" x14ac:dyDescent="0.2">
      <c r="A106" s="19" t="s">
        <v>416</v>
      </c>
      <c r="B106" s="232">
        <v>27606566.52</v>
      </c>
      <c r="C106" s="232">
        <v>33149339.5085232</v>
      </c>
      <c r="D106" s="163">
        <f>IF(B106=0, "    ---- ", IF(ABS(ROUND(100/B106*C106-100,1))&lt;999,ROUND(100/B106*C106-100,1),IF(ROUND(100/B106*C106-100,1)&gt;999,999,-999)))</f>
        <v>20.100000000000001</v>
      </c>
      <c r="E106" s="25">
        <f>IFERROR(100/'Skjema total MA'!C106*C106,0)</f>
        <v>11.134924827032528</v>
      </c>
      <c r="F106" s="232"/>
      <c r="G106" s="232"/>
      <c r="H106" s="163"/>
      <c r="I106" s="25"/>
      <c r="J106" s="282">
        <f t="shared" si="8"/>
        <v>27606566.52</v>
      </c>
      <c r="K106" s="42">
        <f t="shared" si="8"/>
        <v>33149339.5085232</v>
      </c>
      <c r="L106" s="253">
        <f>IF(J106=0, "    ---- ", IF(ABS(ROUND(100/J106*K106-100,1))&lt;999,ROUND(100/J106*K106-100,1),IF(ROUND(100/J106*K106-100,1)&gt;999,999,-999)))</f>
        <v>20.100000000000001</v>
      </c>
      <c r="M106" s="25">
        <f>IFERROR(100/'Skjema total MA'!I106*K106,0)</f>
        <v>10.88465313318159</v>
      </c>
      <c r="O106" s="145"/>
    </row>
    <row r="107" spans="1:15" ht="15.75" x14ac:dyDescent="0.2">
      <c r="A107" s="19" t="s">
        <v>414</v>
      </c>
      <c r="B107" s="232">
        <v>369510.11</v>
      </c>
      <c r="C107" s="232">
        <v>387879.84600000002</v>
      </c>
      <c r="D107" s="163">
        <f>IF(B107=0, "    ---- ", IF(ABS(ROUND(100/B107*C107-100,1))&lt;999,ROUND(100/B107*C107-100,1),IF(ROUND(100/B107*C107-100,1)&gt;999,999,-999)))</f>
        <v>5</v>
      </c>
      <c r="E107" s="25">
        <f>IFERROR(100/'Skjema total MA'!C107*C107,0)</f>
        <v>50.416317255429703</v>
      </c>
      <c r="F107" s="232">
        <v>9308910.1271021403</v>
      </c>
      <c r="G107" s="232">
        <v>11891119.473141201</v>
      </c>
      <c r="H107" s="163">
        <f>IF(F107=0, "    ---- ", IF(ABS(ROUND(100/F107*G107-100,1))&lt;999,ROUND(100/F107*G107-100,1),IF(ROUND(100/F107*G107-100,1)&gt;999,999,-999)))</f>
        <v>27.7</v>
      </c>
      <c r="I107" s="25">
        <f>IFERROR(100/'Skjema total MA'!F107*G107,0)</f>
        <v>17.726606053038257</v>
      </c>
      <c r="J107" s="282">
        <f t="shared" si="8"/>
        <v>9678420.2371021397</v>
      </c>
      <c r="K107" s="42">
        <f t="shared" si="8"/>
        <v>12278999.319141202</v>
      </c>
      <c r="L107" s="253">
        <f>IF(J107=0, "    ---- ", IF(ABS(ROUND(100/J107*K107-100,1))&lt;999,ROUND(100/J107*K107-100,1),IF(ROUND(100/J107*K107-100,1)&gt;999,999,-999)))</f>
        <v>26.9</v>
      </c>
      <c r="M107" s="25">
        <f>IFERROR(100/'Skjema total MA'!I107*K107,0)</f>
        <v>18.097276033331823</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3459</v>
      </c>
      <c r="C109" s="156">
        <v>11025.343999999999</v>
      </c>
      <c r="D109" s="168">
        <f>IF(B109=0, "    ---- ", IF(ABS(ROUND(100/B109*C109-100,1))&lt;999,ROUND(100/B109*C109-100,1),IF(ROUND(100/B109*C109-100,1)&gt;999,999,-999)))</f>
        <v>218.7</v>
      </c>
      <c r="E109" s="11">
        <f>IFERROR(100/'Skjema total MA'!C109*C109,0)</f>
        <v>2.3687208219929605</v>
      </c>
      <c r="F109" s="297">
        <v>617871.06244999997</v>
      </c>
      <c r="G109" s="156">
        <v>787338.09</v>
      </c>
      <c r="H109" s="168">
        <f>IF(F109=0, "    ---- ", IF(ABS(ROUND(100/F109*G109-100,1))&lt;999,ROUND(100/F109*G109-100,1),IF(ROUND(100/F109*G109-100,1)&gt;999,999,-999)))</f>
        <v>27.4</v>
      </c>
      <c r="I109" s="11">
        <f>IFERROR(100/'Skjema total MA'!F109*G109,0)</f>
        <v>9.5810789111230186</v>
      </c>
      <c r="J109" s="298">
        <f t="shared" si="8"/>
        <v>621330.06244999997</v>
      </c>
      <c r="K109" s="234">
        <f t="shared" si="8"/>
        <v>798363.43400000001</v>
      </c>
      <c r="L109" s="411">
        <f>IF(J109=0, "    ---- ", IF(ABS(ROUND(100/J109*K109-100,1))&lt;999,ROUND(100/J109*K109-100,1),IF(ROUND(100/J109*K109-100,1)&gt;999,999,-999)))</f>
        <v>28.5</v>
      </c>
      <c r="M109" s="11">
        <f>IFERROR(100/'Skjema total MA'!I109*K109,0)</f>
        <v>9.1944616667789738</v>
      </c>
      <c r="O109" s="145"/>
    </row>
    <row r="110" spans="1:15" x14ac:dyDescent="0.2">
      <c r="A110" s="19" t="s">
        <v>9</v>
      </c>
      <c r="B110" s="232">
        <v>3459</v>
      </c>
      <c r="C110" s="142">
        <v>11025.343999999999</v>
      </c>
      <c r="D110" s="163">
        <f t="shared" ref="D110:D123" si="9">IF(B110=0, "    ---- ", IF(ABS(ROUND(100/B110*C110-100,1))&lt;999,ROUND(100/B110*C110-100,1),IF(ROUND(100/B110*C110-100,1)&gt;999,999,-999)))</f>
        <v>218.7</v>
      </c>
      <c r="E110" s="25">
        <f>IFERROR(100/'Skjema total MA'!C110*C110,0)</f>
        <v>2.5034400063876441</v>
      </c>
      <c r="F110" s="232"/>
      <c r="G110" s="142"/>
      <c r="H110" s="163"/>
      <c r="I110" s="25"/>
      <c r="J110" s="282">
        <f t="shared" ref="J110:K123" si="10">SUM(B110,F110)</f>
        <v>3459</v>
      </c>
      <c r="K110" s="42">
        <f t="shared" si="10"/>
        <v>11025.343999999999</v>
      </c>
      <c r="L110" s="253">
        <f t="shared" ref="L110:L123" si="11">IF(J110=0, "    ---- ", IF(ABS(ROUND(100/J110*K110-100,1))&lt;999,ROUND(100/J110*K110-100,1),IF(ROUND(100/J110*K110-100,1)&gt;999,999,-999)))</f>
        <v>218.7</v>
      </c>
      <c r="M110" s="25">
        <f>IFERROR(100/'Skjema total MA'!I110*K110,0)</f>
        <v>2.5034400063876441</v>
      </c>
      <c r="O110" s="145"/>
    </row>
    <row r="111" spans="1:15" x14ac:dyDescent="0.2">
      <c r="A111" s="19" t="s">
        <v>10</v>
      </c>
      <c r="B111" s="232"/>
      <c r="C111" s="142"/>
      <c r="D111" s="163"/>
      <c r="E111" s="25"/>
      <c r="F111" s="232">
        <v>617871.06244999997</v>
      </c>
      <c r="G111" s="142">
        <v>787338.09</v>
      </c>
      <c r="H111" s="163">
        <f t="shared" ref="H111:H123" si="12">IF(F111=0, "    ---- ", IF(ABS(ROUND(100/F111*G111-100,1))&lt;999,ROUND(100/F111*G111-100,1),IF(ROUND(100/F111*G111-100,1)&gt;999,999,-999)))</f>
        <v>27.4</v>
      </c>
      <c r="I111" s="25">
        <f>IFERROR(100/'Skjema total MA'!F111*G111,0)</f>
        <v>9.5810789111230186</v>
      </c>
      <c r="J111" s="282">
        <f t="shared" si="10"/>
        <v>617871.06244999997</v>
      </c>
      <c r="K111" s="42">
        <f t="shared" si="10"/>
        <v>787338.09</v>
      </c>
      <c r="L111" s="253">
        <f t="shared" si="11"/>
        <v>27.4</v>
      </c>
      <c r="M111" s="25">
        <f>IFERROR(100/'Skjema total MA'!I111*K111,0)</f>
        <v>9.5779415134048751</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515.13</v>
      </c>
      <c r="C114" s="232">
        <v>4142.9719999999998</v>
      </c>
      <c r="D114" s="163">
        <f t="shared" si="9"/>
        <v>704.3</v>
      </c>
      <c r="E114" s="25">
        <f>IFERROR(100/'Skjema total MA'!C114*C114,0)</f>
        <v>2.8657699591340724</v>
      </c>
      <c r="F114" s="232"/>
      <c r="G114" s="232"/>
      <c r="H114" s="163"/>
      <c r="I114" s="25"/>
      <c r="J114" s="282">
        <f t="shared" si="10"/>
        <v>515.13</v>
      </c>
      <c r="K114" s="42">
        <f t="shared" si="10"/>
        <v>4142.9719999999998</v>
      </c>
      <c r="L114" s="253">
        <f t="shared" si="11"/>
        <v>704.3</v>
      </c>
      <c r="M114" s="25">
        <f>IFERROR(100/'Skjema total MA'!I114*K114,0)</f>
        <v>2.5847801048349095</v>
      </c>
      <c r="O114" s="145"/>
    </row>
    <row r="115" spans="1:15" ht="15.75" x14ac:dyDescent="0.2">
      <c r="A115" s="19" t="s">
        <v>414</v>
      </c>
      <c r="B115" s="232">
        <v>0</v>
      </c>
      <c r="C115" s="232">
        <v>0</v>
      </c>
      <c r="D115" s="163" t="str">
        <f t="shared" si="9"/>
        <v xml:space="preserve">    ---- </v>
      </c>
      <c r="E115" s="25">
        <f>IFERROR(100/'Skjema total MA'!C115*C115,0)</f>
        <v>0</v>
      </c>
      <c r="F115" s="232">
        <v>131008.77</v>
      </c>
      <c r="G115" s="232">
        <v>199631.28200000001</v>
      </c>
      <c r="H115" s="163">
        <f t="shared" si="12"/>
        <v>52.4</v>
      </c>
      <c r="I115" s="25">
        <f>IFERROR(100/'Skjema total MA'!F115*G115,0)</f>
        <v>13.962208517830339</v>
      </c>
      <c r="J115" s="282">
        <f t="shared" si="10"/>
        <v>131008.77</v>
      </c>
      <c r="K115" s="42">
        <f t="shared" si="10"/>
        <v>199631.28200000001</v>
      </c>
      <c r="L115" s="253">
        <f t="shared" si="11"/>
        <v>52.4</v>
      </c>
      <c r="M115" s="25">
        <f>IFERROR(100/'Skjema total MA'!I115*K115,0)</f>
        <v>13.962208517830339</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158572.04</v>
      </c>
      <c r="C117" s="156">
        <v>78304.335140000097</v>
      </c>
      <c r="D117" s="168">
        <f t="shared" si="9"/>
        <v>-50.6</v>
      </c>
      <c r="E117" s="11">
        <f>IFERROR(100/'Skjema total MA'!C117*C117,0)</f>
        <v>20.762386992834255</v>
      </c>
      <c r="F117" s="297">
        <v>1263248.345</v>
      </c>
      <c r="G117" s="156">
        <v>1833070.5989999999</v>
      </c>
      <c r="H117" s="168">
        <f t="shared" si="12"/>
        <v>45.1</v>
      </c>
      <c r="I117" s="11">
        <f>IFERROR(100/'Skjema total MA'!F117*G117,0)</f>
        <v>22.374188994216468</v>
      </c>
      <c r="J117" s="298">
        <f t="shared" si="10"/>
        <v>1421820.385</v>
      </c>
      <c r="K117" s="234">
        <f t="shared" si="10"/>
        <v>1911374.93414</v>
      </c>
      <c r="L117" s="411">
        <f t="shared" si="11"/>
        <v>34.4</v>
      </c>
      <c r="M117" s="11">
        <f>IFERROR(100/'Skjema total MA'!I117*K117,0)</f>
        <v>22.303256927072262</v>
      </c>
      <c r="O117" s="145"/>
    </row>
    <row r="118" spans="1:15" x14ac:dyDescent="0.2">
      <c r="A118" s="19" t="s">
        <v>9</v>
      </c>
      <c r="B118" s="232">
        <v>157351.38</v>
      </c>
      <c r="C118" s="142">
        <v>78304.335140000097</v>
      </c>
      <c r="D118" s="163">
        <f t="shared" si="9"/>
        <v>-50.2</v>
      </c>
      <c r="E118" s="25">
        <f>IFERROR(100/'Skjema total MA'!C118*C118,0)</f>
        <v>22.576612681966019</v>
      </c>
      <c r="F118" s="232"/>
      <c r="G118" s="142"/>
      <c r="H118" s="163"/>
      <c r="I118" s="25"/>
      <c r="J118" s="282">
        <f t="shared" si="10"/>
        <v>157351.38</v>
      </c>
      <c r="K118" s="42">
        <f t="shared" si="10"/>
        <v>78304.335140000097</v>
      </c>
      <c r="L118" s="253">
        <f t="shared" si="11"/>
        <v>-50.2</v>
      </c>
      <c r="M118" s="25">
        <f>IFERROR(100/'Skjema total MA'!I118*K118,0)</f>
        <v>22.576612681966019</v>
      </c>
      <c r="O118" s="145"/>
    </row>
    <row r="119" spans="1:15" x14ac:dyDescent="0.2">
      <c r="A119" s="19" t="s">
        <v>10</v>
      </c>
      <c r="B119" s="232">
        <v>1220.6600000000001</v>
      </c>
      <c r="C119" s="142">
        <v>0</v>
      </c>
      <c r="D119" s="163">
        <f t="shared" si="9"/>
        <v>-100</v>
      </c>
      <c r="E119" s="25">
        <f>IFERROR(100/'Skjema total MA'!C119*C119,0)</f>
        <v>0</v>
      </c>
      <c r="F119" s="232">
        <v>1263248.345</v>
      </c>
      <c r="G119" s="142">
        <v>1833070.5989999999</v>
      </c>
      <c r="H119" s="163">
        <f t="shared" si="12"/>
        <v>45.1</v>
      </c>
      <c r="I119" s="25">
        <f>IFERROR(100/'Skjema total MA'!F119*G119,0)</f>
        <v>22.374188994216468</v>
      </c>
      <c r="J119" s="282">
        <f t="shared" si="10"/>
        <v>1264469.0049999999</v>
      </c>
      <c r="K119" s="42">
        <f t="shared" si="10"/>
        <v>1833070.5989999999</v>
      </c>
      <c r="L119" s="253">
        <f t="shared" si="11"/>
        <v>45</v>
      </c>
      <c r="M119" s="25">
        <f>IFERROR(100/'Skjema total MA'!I119*K119,0)</f>
        <v>22.310991635732186</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v>5585.95</v>
      </c>
      <c r="C122" s="232">
        <v>0</v>
      </c>
      <c r="D122" s="163">
        <f t="shared" si="9"/>
        <v>-100</v>
      </c>
      <c r="E122" s="25">
        <f>IFERROR(100/'Skjema total MA'!C122*C122,0)</f>
        <v>0</v>
      </c>
      <c r="F122" s="232"/>
      <c r="G122" s="232"/>
      <c r="H122" s="163"/>
      <c r="I122" s="25"/>
      <c r="J122" s="282">
        <f t="shared" si="10"/>
        <v>5585.95</v>
      </c>
      <c r="K122" s="42">
        <f t="shared" si="10"/>
        <v>0</v>
      </c>
      <c r="L122" s="253">
        <f t="shared" si="11"/>
        <v>-100</v>
      </c>
      <c r="M122" s="25">
        <f>IFERROR(100/'Skjema total MA'!I122*K122,0)</f>
        <v>0</v>
      </c>
      <c r="O122" s="145"/>
    </row>
    <row r="123" spans="1:15" ht="15.75" x14ac:dyDescent="0.2">
      <c r="A123" s="19" t="s">
        <v>414</v>
      </c>
      <c r="B123" s="232">
        <v>1220.6600000000001</v>
      </c>
      <c r="C123" s="232">
        <v>0</v>
      </c>
      <c r="D123" s="163">
        <f t="shared" si="9"/>
        <v>-100</v>
      </c>
      <c r="E123" s="25">
        <f>IFERROR(100/'Skjema total MA'!C123*C123,0)</f>
        <v>0</v>
      </c>
      <c r="F123" s="232">
        <v>47413.731</v>
      </c>
      <c r="G123" s="232">
        <v>268487.17700000003</v>
      </c>
      <c r="H123" s="163">
        <f t="shared" si="12"/>
        <v>466.3</v>
      </c>
      <c r="I123" s="25">
        <f>IFERROR(100/'Skjema total MA'!F123*G123,0)</f>
        <v>18.096718248129541</v>
      </c>
      <c r="J123" s="282">
        <f t="shared" si="10"/>
        <v>48634.391000000003</v>
      </c>
      <c r="K123" s="42">
        <f t="shared" si="10"/>
        <v>268487.17700000003</v>
      </c>
      <c r="L123" s="253">
        <f t="shared" si="11"/>
        <v>452.1</v>
      </c>
      <c r="M123" s="25">
        <f>IFERROR(100/'Skjema total MA'!I123*K123,0)</f>
        <v>18.05036649193412</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672" priority="142">
      <formula>kvartal &lt; 4</formula>
    </cfRule>
  </conditionalFormatting>
  <conditionalFormatting sqref="B29">
    <cfRule type="expression" dxfId="671" priority="140">
      <formula>kvartal &lt; 4</formula>
    </cfRule>
  </conditionalFormatting>
  <conditionalFormatting sqref="B30">
    <cfRule type="expression" dxfId="670" priority="139">
      <formula>kvartal &lt; 4</formula>
    </cfRule>
  </conditionalFormatting>
  <conditionalFormatting sqref="B31">
    <cfRule type="expression" dxfId="669" priority="138">
      <formula>kvartal &lt; 4</formula>
    </cfRule>
  </conditionalFormatting>
  <conditionalFormatting sqref="C29">
    <cfRule type="expression" dxfId="668" priority="137">
      <formula>kvartal &lt; 4</formula>
    </cfRule>
  </conditionalFormatting>
  <conditionalFormatting sqref="C30">
    <cfRule type="expression" dxfId="667" priority="136">
      <formula>kvartal &lt; 4</formula>
    </cfRule>
  </conditionalFormatting>
  <conditionalFormatting sqref="C31">
    <cfRule type="expression" dxfId="666" priority="135">
      <formula>kvartal &lt; 4</formula>
    </cfRule>
  </conditionalFormatting>
  <conditionalFormatting sqref="B23:C25">
    <cfRule type="expression" dxfId="665" priority="134">
      <formula>kvartal &lt; 4</formula>
    </cfRule>
  </conditionalFormatting>
  <conditionalFormatting sqref="F23:G25">
    <cfRule type="expression" dxfId="664" priority="130">
      <formula>kvartal &lt; 4</formula>
    </cfRule>
  </conditionalFormatting>
  <conditionalFormatting sqref="F29">
    <cfRule type="expression" dxfId="663" priority="123">
      <formula>kvartal &lt; 4</formula>
    </cfRule>
  </conditionalFormatting>
  <conditionalFormatting sqref="F30">
    <cfRule type="expression" dxfId="662" priority="122">
      <formula>kvartal &lt; 4</formula>
    </cfRule>
  </conditionalFormatting>
  <conditionalFormatting sqref="F31">
    <cfRule type="expression" dxfId="661" priority="121">
      <formula>kvartal &lt; 4</formula>
    </cfRule>
  </conditionalFormatting>
  <conditionalFormatting sqref="G29">
    <cfRule type="expression" dxfId="660" priority="120">
      <formula>kvartal &lt; 4</formula>
    </cfRule>
  </conditionalFormatting>
  <conditionalFormatting sqref="G30">
    <cfRule type="expression" dxfId="659" priority="119">
      <formula>kvartal &lt; 4</formula>
    </cfRule>
  </conditionalFormatting>
  <conditionalFormatting sqref="G31">
    <cfRule type="expression" dxfId="658" priority="118">
      <formula>kvartal &lt; 4</formula>
    </cfRule>
  </conditionalFormatting>
  <conditionalFormatting sqref="B26">
    <cfRule type="expression" dxfId="657" priority="117">
      <formula>kvartal &lt; 4</formula>
    </cfRule>
  </conditionalFormatting>
  <conditionalFormatting sqref="C26">
    <cfRule type="expression" dxfId="656" priority="116">
      <formula>kvartal &lt; 4</formula>
    </cfRule>
  </conditionalFormatting>
  <conditionalFormatting sqref="F26">
    <cfRule type="expression" dxfId="655" priority="115">
      <formula>kvartal &lt; 4</formula>
    </cfRule>
  </conditionalFormatting>
  <conditionalFormatting sqref="G26">
    <cfRule type="expression" dxfId="654" priority="114">
      <formula>kvartal &lt; 4</formula>
    </cfRule>
  </conditionalFormatting>
  <conditionalFormatting sqref="J23:K26">
    <cfRule type="expression" dxfId="653" priority="113">
      <formula>kvartal &lt; 4</formula>
    </cfRule>
  </conditionalFormatting>
  <conditionalFormatting sqref="J29:K31">
    <cfRule type="expression" dxfId="652" priority="111">
      <formula>kvartal &lt; 4</formula>
    </cfRule>
  </conditionalFormatting>
  <conditionalFormatting sqref="B67">
    <cfRule type="expression" dxfId="651" priority="110">
      <formula>kvartal &lt; 4</formula>
    </cfRule>
  </conditionalFormatting>
  <conditionalFormatting sqref="C67">
    <cfRule type="expression" dxfId="650" priority="109">
      <formula>kvartal &lt; 4</formula>
    </cfRule>
  </conditionalFormatting>
  <conditionalFormatting sqref="B70">
    <cfRule type="expression" dxfId="649" priority="108">
      <formula>kvartal &lt; 4</formula>
    </cfRule>
  </conditionalFormatting>
  <conditionalFormatting sqref="C70">
    <cfRule type="expression" dxfId="648" priority="107">
      <formula>kvartal &lt; 4</formula>
    </cfRule>
  </conditionalFormatting>
  <conditionalFormatting sqref="B78">
    <cfRule type="expression" dxfId="647" priority="106">
      <formula>kvartal &lt; 4</formula>
    </cfRule>
  </conditionalFormatting>
  <conditionalFormatting sqref="C78">
    <cfRule type="expression" dxfId="646" priority="105">
      <formula>kvartal &lt; 4</formula>
    </cfRule>
  </conditionalFormatting>
  <conditionalFormatting sqref="B81">
    <cfRule type="expression" dxfId="645" priority="104">
      <formula>kvartal &lt; 4</formula>
    </cfRule>
  </conditionalFormatting>
  <conditionalFormatting sqref="C81">
    <cfRule type="expression" dxfId="644" priority="103">
      <formula>kvartal &lt; 4</formula>
    </cfRule>
  </conditionalFormatting>
  <conditionalFormatting sqref="B88">
    <cfRule type="expression" dxfId="643" priority="94">
      <formula>kvartal &lt; 4</formula>
    </cfRule>
  </conditionalFormatting>
  <conditionalFormatting sqref="C88">
    <cfRule type="expression" dxfId="642" priority="93">
      <formula>kvartal &lt; 4</formula>
    </cfRule>
  </conditionalFormatting>
  <conditionalFormatting sqref="B91">
    <cfRule type="expression" dxfId="641" priority="92">
      <formula>kvartal &lt; 4</formula>
    </cfRule>
  </conditionalFormatting>
  <conditionalFormatting sqref="C91">
    <cfRule type="expression" dxfId="640" priority="91">
      <formula>kvartal &lt; 4</formula>
    </cfRule>
  </conditionalFormatting>
  <conditionalFormatting sqref="B99">
    <cfRule type="expression" dxfId="639" priority="90">
      <formula>kvartal &lt; 4</formula>
    </cfRule>
  </conditionalFormatting>
  <conditionalFormatting sqref="C99">
    <cfRule type="expression" dxfId="638" priority="89">
      <formula>kvartal &lt; 4</formula>
    </cfRule>
  </conditionalFormatting>
  <conditionalFormatting sqref="B102">
    <cfRule type="expression" dxfId="637" priority="88">
      <formula>kvartal &lt; 4</formula>
    </cfRule>
  </conditionalFormatting>
  <conditionalFormatting sqref="C102">
    <cfRule type="expression" dxfId="636" priority="87">
      <formula>kvartal &lt; 4</formula>
    </cfRule>
  </conditionalFormatting>
  <conditionalFormatting sqref="B113">
    <cfRule type="expression" dxfId="635" priority="86">
      <formula>kvartal &lt; 4</formula>
    </cfRule>
  </conditionalFormatting>
  <conditionalFormatting sqref="C113">
    <cfRule type="expression" dxfId="634" priority="85">
      <formula>kvartal &lt; 4</formula>
    </cfRule>
  </conditionalFormatting>
  <conditionalFormatting sqref="B121">
    <cfRule type="expression" dxfId="633" priority="84">
      <formula>kvartal &lt; 4</formula>
    </cfRule>
  </conditionalFormatting>
  <conditionalFormatting sqref="C121">
    <cfRule type="expression" dxfId="632" priority="83">
      <formula>kvartal &lt; 4</formula>
    </cfRule>
  </conditionalFormatting>
  <conditionalFormatting sqref="F68">
    <cfRule type="expression" dxfId="631" priority="82">
      <formula>kvartal &lt; 4</formula>
    </cfRule>
  </conditionalFormatting>
  <conditionalFormatting sqref="G68">
    <cfRule type="expression" dxfId="630" priority="81">
      <formula>kvartal &lt; 4</formula>
    </cfRule>
  </conditionalFormatting>
  <conditionalFormatting sqref="F69:G69">
    <cfRule type="expression" dxfId="629" priority="80">
      <formula>kvartal &lt; 4</formula>
    </cfRule>
  </conditionalFormatting>
  <conditionalFormatting sqref="F71:G72">
    <cfRule type="expression" dxfId="628" priority="79">
      <formula>kvartal &lt; 4</formula>
    </cfRule>
  </conditionalFormatting>
  <conditionalFormatting sqref="F79:G80">
    <cfRule type="expression" dxfId="627" priority="78">
      <formula>kvartal &lt; 4</formula>
    </cfRule>
  </conditionalFormatting>
  <conditionalFormatting sqref="F82:G83">
    <cfRule type="expression" dxfId="626" priority="77">
      <formula>kvartal &lt; 4</formula>
    </cfRule>
  </conditionalFormatting>
  <conditionalFormatting sqref="F89:G90">
    <cfRule type="expression" dxfId="625" priority="72">
      <formula>kvartal &lt; 4</formula>
    </cfRule>
  </conditionalFormatting>
  <conditionalFormatting sqref="F92:G93">
    <cfRule type="expression" dxfId="624" priority="71">
      <formula>kvartal &lt; 4</formula>
    </cfRule>
  </conditionalFormatting>
  <conditionalFormatting sqref="F100:G101">
    <cfRule type="expression" dxfId="623" priority="70">
      <formula>kvartal &lt; 4</formula>
    </cfRule>
  </conditionalFormatting>
  <conditionalFormatting sqref="F103:G104">
    <cfRule type="expression" dxfId="622" priority="69">
      <formula>kvartal &lt; 4</formula>
    </cfRule>
  </conditionalFormatting>
  <conditionalFormatting sqref="F113">
    <cfRule type="expression" dxfId="621" priority="68">
      <formula>kvartal &lt; 4</formula>
    </cfRule>
  </conditionalFormatting>
  <conditionalFormatting sqref="G113">
    <cfRule type="expression" dxfId="620" priority="67">
      <formula>kvartal &lt; 4</formula>
    </cfRule>
  </conditionalFormatting>
  <conditionalFormatting sqref="F121:G121">
    <cfRule type="expression" dxfId="619" priority="66">
      <formula>kvartal &lt; 4</formula>
    </cfRule>
  </conditionalFormatting>
  <conditionalFormatting sqref="F67:G67">
    <cfRule type="expression" dxfId="618" priority="65">
      <formula>kvartal &lt; 4</formula>
    </cfRule>
  </conditionalFormatting>
  <conditionalFormatting sqref="F70:G70">
    <cfRule type="expression" dxfId="617" priority="64">
      <formula>kvartal &lt; 4</formula>
    </cfRule>
  </conditionalFormatting>
  <conditionalFormatting sqref="F78:G78">
    <cfRule type="expression" dxfId="616" priority="63">
      <formula>kvartal &lt; 4</formula>
    </cfRule>
  </conditionalFormatting>
  <conditionalFormatting sqref="F81:G81">
    <cfRule type="expression" dxfId="615" priority="62">
      <formula>kvartal &lt; 4</formula>
    </cfRule>
  </conditionalFormatting>
  <conditionalFormatting sqref="F88:G88">
    <cfRule type="expression" dxfId="614" priority="56">
      <formula>kvartal &lt; 4</formula>
    </cfRule>
  </conditionalFormatting>
  <conditionalFormatting sqref="F91">
    <cfRule type="expression" dxfId="613" priority="55">
      <formula>kvartal &lt; 4</formula>
    </cfRule>
  </conditionalFormatting>
  <conditionalFormatting sqref="G91">
    <cfRule type="expression" dxfId="612" priority="54">
      <formula>kvartal &lt; 4</formula>
    </cfRule>
  </conditionalFormatting>
  <conditionalFormatting sqref="F99">
    <cfRule type="expression" dxfId="611" priority="53">
      <formula>kvartal &lt; 4</formula>
    </cfRule>
  </conditionalFormatting>
  <conditionalFormatting sqref="G99">
    <cfRule type="expression" dxfId="610" priority="52">
      <formula>kvartal &lt; 4</formula>
    </cfRule>
  </conditionalFormatting>
  <conditionalFormatting sqref="G102">
    <cfRule type="expression" dxfId="609" priority="51">
      <formula>kvartal &lt; 4</formula>
    </cfRule>
  </conditionalFormatting>
  <conditionalFormatting sqref="F102">
    <cfRule type="expression" dxfId="608" priority="50">
      <formula>kvartal &lt; 4</formula>
    </cfRule>
  </conditionalFormatting>
  <conditionalFormatting sqref="J67:K71">
    <cfRule type="expression" dxfId="607" priority="49">
      <formula>kvartal &lt; 4</formula>
    </cfRule>
  </conditionalFormatting>
  <conditionalFormatting sqref="J72:K72">
    <cfRule type="expression" dxfId="606" priority="48">
      <formula>kvartal &lt; 4</formula>
    </cfRule>
  </conditionalFormatting>
  <conditionalFormatting sqref="J78:K83">
    <cfRule type="expression" dxfId="605" priority="47">
      <formula>kvartal &lt; 4</formula>
    </cfRule>
  </conditionalFormatting>
  <conditionalFormatting sqref="J88:K93">
    <cfRule type="expression" dxfId="604" priority="44">
      <formula>kvartal &lt; 4</formula>
    </cfRule>
  </conditionalFormatting>
  <conditionalFormatting sqref="J99:K104">
    <cfRule type="expression" dxfId="603" priority="43">
      <formula>kvartal &lt; 4</formula>
    </cfRule>
  </conditionalFormatting>
  <conditionalFormatting sqref="J113:K113">
    <cfRule type="expression" dxfId="602" priority="42">
      <formula>kvartal &lt; 4</formula>
    </cfRule>
  </conditionalFormatting>
  <conditionalFormatting sqref="J121:K121">
    <cfRule type="expression" dxfId="601" priority="41">
      <formula>kvartal &lt; 4</formula>
    </cfRule>
  </conditionalFormatting>
  <conditionalFormatting sqref="A23:A25">
    <cfRule type="expression" dxfId="600" priority="10">
      <formula>kvartal &lt; 4</formula>
    </cfRule>
  </conditionalFormatting>
  <conditionalFormatting sqref="A48:A50">
    <cfRule type="expression" dxfId="599" priority="9">
      <formula>kvartal &lt; 4</formula>
    </cfRule>
  </conditionalFormatting>
  <conditionalFormatting sqref="A67:A72">
    <cfRule type="expression" dxfId="598" priority="8">
      <formula>kvartal &lt; 4</formula>
    </cfRule>
  </conditionalFormatting>
  <conditionalFormatting sqref="A113">
    <cfRule type="expression" dxfId="597" priority="7">
      <formula>kvartal &lt; 4</formula>
    </cfRule>
  </conditionalFormatting>
  <conditionalFormatting sqref="A121">
    <cfRule type="expression" dxfId="596" priority="6">
      <formula>kvartal &lt; 4</formula>
    </cfRule>
  </conditionalFormatting>
  <conditionalFormatting sqref="A26">
    <cfRule type="expression" dxfId="595" priority="5">
      <formula>kvartal &lt; 4</formula>
    </cfRule>
  </conditionalFormatting>
  <conditionalFormatting sqref="A29:A31">
    <cfRule type="expression" dxfId="594" priority="4">
      <formula>kvartal &lt; 4</formula>
    </cfRule>
  </conditionalFormatting>
  <conditionalFormatting sqref="A78:A83">
    <cfRule type="expression" dxfId="593" priority="3">
      <formula>kvartal &lt; 4</formula>
    </cfRule>
  </conditionalFormatting>
  <conditionalFormatting sqref="A88:A93">
    <cfRule type="expression" dxfId="592" priority="2">
      <formula>kvartal &lt; 4</formula>
    </cfRule>
  </conditionalFormatting>
  <conditionalFormatting sqref="A99:A104">
    <cfRule type="expression" dxfId="591" priority="1">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105</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26</v>
      </c>
      <c r="C45" s="300">
        <v>24586</v>
      </c>
      <c r="D45" s="410">
        <f t="shared" ref="D45:D46" si="0">IF(B45=0, "    ---- ", IF(ABS(ROUND(100/B45*C45-100,1))&lt;999,ROUND(100/B45*C45-100,1),IF(ROUND(100/B45*C45-100,1)&gt;999,999,-999)))</f>
        <v>999</v>
      </c>
      <c r="E45" s="11">
        <f>IFERROR(100/'Skjema total MA'!C45*C45,0)</f>
        <v>0.73648533443617969</v>
      </c>
      <c r="F45" s="142"/>
      <c r="G45" s="31"/>
      <c r="H45" s="156"/>
      <c r="I45" s="156"/>
      <c r="J45" s="35"/>
      <c r="K45" s="35"/>
      <c r="L45" s="156"/>
      <c r="M45" s="156"/>
      <c r="N45" s="145"/>
      <c r="O45" s="145"/>
    </row>
    <row r="46" spans="1:15" s="3" customFormat="1" ht="15.75" x14ac:dyDescent="0.2">
      <c r="A46" s="36" t="s">
        <v>407</v>
      </c>
      <c r="B46" s="278">
        <v>26</v>
      </c>
      <c r="C46" s="279">
        <v>24586</v>
      </c>
      <c r="D46" s="253">
        <f t="shared" si="0"/>
        <v>999</v>
      </c>
      <c r="E46" s="25">
        <f>IFERROR(100/'Skjema total MA'!C46*C46,0)</f>
        <v>1.3508148674847458</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v>3324935</v>
      </c>
      <c r="C132" s="298">
        <v>3128293</v>
      </c>
      <c r="D132" s="336">
        <f>IF(B132=0, "    ---- ", IF(ABS(ROUND(100/B132*C132-100,1))&lt;999,ROUND(100/B132*C132-100,1),IF(ROUND(100/B132*C132-100,1)&gt;999,999,-999)))</f>
        <v>-5.9</v>
      </c>
      <c r="E132" s="11">
        <f>IFERROR(100/'Skjema total MA'!C132*C132,0)</f>
        <v>11.599697806615715</v>
      </c>
      <c r="F132" s="305"/>
      <c r="G132" s="306"/>
      <c r="H132" s="414"/>
      <c r="I132" s="22"/>
      <c r="J132" s="307">
        <f t="shared" ref="J132:K133" si="1">SUM(B132,F132)</f>
        <v>3324935</v>
      </c>
      <c r="K132" s="307">
        <f t="shared" si="1"/>
        <v>3128293</v>
      </c>
      <c r="L132" s="410">
        <f>IF(J132=0, "    ---- ", IF(ABS(ROUND(100/J132*K132-100,1))&lt;999,ROUND(100/J132*K132-100,1),IF(ROUND(100/J132*K132-100,1)&gt;999,999,-999)))</f>
        <v>-5.9</v>
      </c>
      <c r="M132" s="11">
        <f>IFERROR(100/'Skjema total MA'!I132*K132,0)</f>
        <v>11.563303270009984</v>
      </c>
      <c r="N132" s="145"/>
      <c r="O132" s="145"/>
    </row>
    <row r="133" spans="1:15" s="3" customFormat="1" ht="15.75" x14ac:dyDescent="0.2">
      <c r="A133" s="13" t="s">
        <v>418</v>
      </c>
      <c r="B133" s="234">
        <v>63722413</v>
      </c>
      <c r="C133" s="298">
        <v>69246198</v>
      </c>
      <c r="D133" s="168">
        <f>IF(B133=0, "    ---- ", IF(ABS(ROUND(100/B133*C133-100,1))&lt;999,ROUND(100/B133*C133-100,1),IF(ROUND(100/B133*C133-100,1)&gt;999,999,-999)))</f>
        <v>8.6999999999999993</v>
      </c>
      <c r="E133" s="11">
        <f>IFERROR(100/'Skjema total MA'!C133*C133,0)</f>
        <v>13.549340673174425</v>
      </c>
      <c r="F133" s="234"/>
      <c r="G133" s="298"/>
      <c r="H133" s="415"/>
      <c r="I133" s="22"/>
      <c r="J133" s="297">
        <f t="shared" si="1"/>
        <v>63722413</v>
      </c>
      <c r="K133" s="297">
        <f t="shared" si="1"/>
        <v>69246198</v>
      </c>
      <c r="L133" s="411">
        <f>IF(J133=0, "    ---- ", IF(ABS(ROUND(100/J133*K133-100,1))&lt;999,ROUND(100/J133*K133-100,1),IF(ROUND(100/J133*K133-100,1)&gt;999,999,-999)))</f>
        <v>8.6999999999999993</v>
      </c>
      <c r="M133" s="11">
        <f>IFERROR(100/'Skjema total MA'!I133*K133,0)</f>
        <v>13.487843134885791</v>
      </c>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590" priority="142">
      <formula>kvartal &lt; 4</formula>
    </cfRule>
  </conditionalFormatting>
  <conditionalFormatting sqref="B29">
    <cfRule type="expression" dxfId="589" priority="140">
      <formula>kvartal &lt; 4</formula>
    </cfRule>
  </conditionalFormatting>
  <conditionalFormatting sqref="B30">
    <cfRule type="expression" dxfId="588" priority="139">
      <formula>kvartal &lt; 4</formula>
    </cfRule>
  </conditionalFormatting>
  <conditionalFormatting sqref="B31">
    <cfRule type="expression" dxfId="587" priority="138">
      <formula>kvartal &lt; 4</formula>
    </cfRule>
  </conditionalFormatting>
  <conditionalFormatting sqref="C29">
    <cfRule type="expression" dxfId="586" priority="137">
      <formula>kvartal &lt; 4</formula>
    </cfRule>
  </conditionalFormatting>
  <conditionalFormatting sqref="C30">
    <cfRule type="expression" dxfId="585" priority="136">
      <formula>kvartal &lt; 4</formula>
    </cfRule>
  </conditionalFormatting>
  <conditionalFormatting sqref="C31">
    <cfRule type="expression" dxfId="584" priority="135">
      <formula>kvartal &lt; 4</formula>
    </cfRule>
  </conditionalFormatting>
  <conditionalFormatting sqref="B23:C25">
    <cfRule type="expression" dxfId="583" priority="134">
      <formula>kvartal &lt; 4</formula>
    </cfRule>
  </conditionalFormatting>
  <conditionalFormatting sqref="F23:G25">
    <cfRule type="expression" dxfId="582" priority="130">
      <formula>kvartal &lt; 4</formula>
    </cfRule>
  </conditionalFormatting>
  <conditionalFormatting sqref="F29">
    <cfRule type="expression" dxfId="581" priority="123">
      <formula>kvartal &lt; 4</formula>
    </cfRule>
  </conditionalFormatting>
  <conditionalFormatting sqref="F30">
    <cfRule type="expression" dxfId="580" priority="122">
      <formula>kvartal &lt; 4</formula>
    </cfRule>
  </conditionalFormatting>
  <conditionalFormatting sqref="F31">
    <cfRule type="expression" dxfId="579" priority="121">
      <formula>kvartal &lt; 4</formula>
    </cfRule>
  </conditionalFormatting>
  <conditionalFormatting sqref="G29">
    <cfRule type="expression" dxfId="578" priority="120">
      <formula>kvartal &lt; 4</formula>
    </cfRule>
  </conditionalFormatting>
  <conditionalFormatting sqref="G30">
    <cfRule type="expression" dxfId="577" priority="119">
      <formula>kvartal &lt; 4</formula>
    </cfRule>
  </conditionalFormatting>
  <conditionalFormatting sqref="G31">
    <cfRule type="expression" dxfId="576" priority="118">
      <formula>kvartal &lt; 4</formula>
    </cfRule>
  </conditionalFormatting>
  <conditionalFormatting sqref="B26">
    <cfRule type="expression" dxfId="575" priority="117">
      <formula>kvartal &lt; 4</formula>
    </cfRule>
  </conditionalFormatting>
  <conditionalFormatting sqref="C26">
    <cfRule type="expression" dxfId="574" priority="116">
      <formula>kvartal &lt; 4</formula>
    </cfRule>
  </conditionalFormatting>
  <conditionalFormatting sqref="F26">
    <cfRule type="expression" dxfId="573" priority="115">
      <formula>kvartal &lt; 4</formula>
    </cfRule>
  </conditionalFormatting>
  <conditionalFormatting sqref="G26">
    <cfRule type="expression" dxfId="572" priority="114">
      <formula>kvartal &lt; 4</formula>
    </cfRule>
  </conditionalFormatting>
  <conditionalFormatting sqref="J23:K26">
    <cfRule type="expression" dxfId="571" priority="113">
      <formula>kvartal &lt; 4</formula>
    </cfRule>
  </conditionalFormatting>
  <conditionalFormatting sqref="J29:K31">
    <cfRule type="expression" dxfId="570" priority="111">
      <formula>kvartal &lt; 4</formula>
    </cfRule>
  </conditionalFormatting>
  <conditionalFormatting sqref="B67">
    <cfRule type="expression" dxfId="569" priority="110">
      <formula>kvartal &lt; 4</formula>
    </cfRule>
  </conditionalFormatting>
  <conditionalFormatting sqref="C67">
    <cfRule type="expression" dxfId="568" priority="109">
      <formula>kvartal &lt; 4</formula>
    </cfRule>
  </conditionalFormatting>
  <conditionalFormatting sqref="B70">
    <cfRule type="expression" dxfId="567" priority="108">
      <formula>kvartal &lt; 4</formula>
    </cfRule>
  </conditionalFormatting>
  <conditionalFormatting sqref="C70">
    <cfRule type="expression" dxfId="566" priority="107">
      <formula>kvartal &lt; 4</formula>
    </cfRule>
  </conditionalFormatting>
  <conditionalFormatting sqref="B78">
    <cfRule type="expression" dxfId="565" priority="106">
      <formula>kvartal &lt; 4</formula>
    </cfRule>
  </conditionalFormatting>
  <conditionalFormatting sqref="C78">
    <cfRule type="expression" dxfId="564" priority="105">
      <formula>kvartal &lt; 4</formula>
    </cfRule>
  </conditionalFormatting>
  <conditionalFormatting sqref="B81">
    <cfRule type="expression" dxfId="563" priority="104">
      <formula>kvartal &lt; 4</formula>
    </cfRule>
  </conditionalFormatting>
  <conditionalFormatting sqref="C81">
    <cfRule type="expression" dxfId="562" priority="103">
      <formula>kvartal &lt; 4</formula>
    </cfRule>
  </conditionalFormatting>
  <conditionalFormatting sqref="B88">
    <cfRule type="expression" dxfId="561" priority="94">
      <formula>kvartal &lt; 4</formula>
    </cfRule>
  </conditionalFormatting>
  <conditionalFormatting sqref="C88">
    <cfRule type="expression" dxfId="560" priority="93">
      <formula>kvartal &lt; 4</formula>
    </cfRule>
  </conditionalFormatting>
  <conditionalFormatting sqref="B91">
    <cfRule type="expression" dxfId="559" priority="92">
      <formula>kvartal &lt; 4</formula>
    </cfRule>
  </conditionalFormatting>
  <conditionalFormatting sqref="C91">
    <cfRule type="expression" dxfId="558" priority="91">
      <formula>kvartal &lt; 4</formula>
    </cfRule>
  </conditionalFormatting>
  <conditionalFormatting sqref="B99">
    <cfRule type="expression" dxfId="557" priority="90">
      <formula>kvartal &lt; 4</formula>
    </cfRule>
  </conditionalFormatting>
  <conditionalFormatting sqref="C99">
    <cfRule type="expression" dxfId="556" priority="89">
      <formula>kvartal &lt; 4</formula>
    </cfRule>
  </conditionalFormatting>
  <conditionalFormatting sqref="B102">
    <cfRule type="expression" dxfId="555" priority="88">
      <formula>kvartal &lt; 4</formula>
    </cfRule>
  </conditionalFormatting>
  <conditionalFormatting sqref="C102">
    <cfRule type="expression" dxfId="554" priority="87">
      <formula>kvartal &lt; 4</formula>
    </cfRule>
  </conditionalFormatting>
  <conditionalFormatting sqref="B113">
    <cfRule type="expression" dxfId="553" priority="86">
      <formula>kvartal &lt; 4</formula>
    </cfRule>
  </conditionalFormatting>
  <conditionalFormatting sqref="C113">
    <cfRule type="expression" dxfId="552" priority="85">
      <formula>kvartal &lt; 4</formula>
    </cfRule>
  </conditionalFormatting>
  <conditionalFormatting sqref="B121">
    <cfRule type="expression" dxfId="551" priority="84">
      <formula>kvartal &lt; 4</formula>
    </cfRule>
  </conditionalFormatting>
  <conditionalFormatting sqref="C121">
    <cfRule type="expression" dxfId="550" priority="83">
      <formula>kvartal &lt; 4</formula>
    </cfRule>
  </conditionalFormatting>
  <conditionalFormatting sqref="F68">
    <cfRule type="expression" dxfId="549" priority="82">
      <formula>kvartal &lt; 4</formula>
    </cfRule>
  </conditionalFormatting>
  <conditionalFormatting sqref="G68">
    <cfRule type="expression" dxfId="548" priority="81">
      <formula>kvartal &lt; 4</formula>
    </cfRule>
  </conditionalFormatting>
  <conditionalFormatting sqref="F69:G69">
    <cfRule type="expression" dxfId="547" priority="80">
      <formula>kvartal &lt; 4</formula>
    </cfRule>
  </conditionalFormatting>
  <conditionalFormatting sqref="F71:G72">
    <cfRule type="expression" dxfId="546" priority="79">
      <formula>kvartal &lt; 4</formula>
    </cfRule>
  </conditionalFormatting>
  <conditionalFormatting sqref="F79:G80">
    <cfRule type="expression" dxfId="545" priority="78">
      <formula>kvartal &lt; 4</formula>
    </cfRule>
  </conditionalFormatting>
  <conditionalFormatting sqref="F82:G83">
    <cfRule type="expression" dxfId="544" priority="77">
      <formula>kvartal &lt; 4</formula>
    </cfRule>
  </conditionalFormatting>
  <conditionalFormatting sqref="F89:G90">
    <cfRule type="expression" dxfId="543" priority="72">
      <formula>kvartal &lt; 4</formula>
    </cfRule>
  </conditionalFormatting>
  <conditionalFormatting sqref="F92:G93">
    <cfRule type="expression" dxfId="542" priority="71">
      <formula>kvartal &lt; 4</formula>
    </cfRule>
  </conditionalFormatting>
  <conditionalFormatting sqref="F100:G101">
    <cfRule type="expression" dxfId="541" priority="70">
      <formula>kvartal &lt; 4</formula>
    </cfRule>
  </conditionalFormatting>
  <conditionalFormatting sqref="F103:G104">
    <cfRule type="expression" dxfId="540" priority="69">
      <formula>kvartal &lt; 4</formula>
    </cfRule>
  </conditionalFormatting>
  <conditionalFormatting sqref="F113">
    <cfRule type="expression" dxfId="539" priority="68">
      <formula>kvartal &lt; 4</formula>
    </cfRule>
  </conditionalFormatting>
  <conditionalFormatting sqref="G113">
    <cfRule type="expression" dxfId="538" priority="67">
      <formula>kvartal &lt; 4</formula>
    </cfRule>
  </conditionalFormatting>
  <conditionalFormatting sqref="F121:G121">
    <cfRule type="expression" dxfId="537" priority="66">
      <formula>kvartal &lt; 4</formula>
    </cfRule>
  </conditionalFormatting>
  <conditionalFormatting sqref="F67:G67">
    <cfRule type="expression" dxfId="536" priority="65">
      <formula>kvartal &lt; 4</formula>
    </cfRule>
  </conditionalFormatting>
  <conditionalFormatting sqref="F70:G70">
    <cfRule type="expression" dxfId="535" priority="64">
      <formula>kvartal &lt; 4</formula>
    </cfRule>
  </conditionalFormatting>
  <conditionalFormatting sqref="F78:G78">
    <cfRule type="expression" dxfId="534" priority="63">
      <formula>kvartal &lt; 4</formula>
    </cfRule>
  </conditionalFormatting>
  <conditionalFormatting sqref="F81:G81">
    <cfRule type="expression" dxfId="533" priority="62">
      <formula>kvartal &lt; 4</formula>
    </cfRule>
  </conditionalFormatting>
  <conditionalFormatting sqref="F88:G88">
    <cfRule type="expression" dxfId="532" priority="56">
      <formula>kvartal &lt; 4</formula>
    </cfRule>
  </conditionalFormatting>
  <conditionalFormatting sqref="F91">
    <cfRule type="expression" dxfId="531" priority="55">
      <formula>kvartal &lt; 4</formula>
    </cfRule>
  </conditionalFormatting>
  <conditionalFormatting sqref="G91">
    <cfRule type="expression" dxfId="530" priority="54">
      <formula>kvartal &lt; 4</formula>
    </cfRule>
  </conditionalFormatting>
  <conditionalFormatting sqref="F99">
    <cfRule type="expression" dxfId="529" priority="53">
      <formula>kvartal &lt; 4</formula>
    </cfRule>
  </conditionalFormatting>
  <conditionalFormatting sqref="G99">
    <cfRule type="expression" dxfId="528" priority="52">
      <formula>kvartal &lt; 4</formula>
    </cfRule>
  </conditionalFormatting>
  <conditionalFormatting sqref="G102">
    <cfRule type="expression" dxfId="527" priority="51">
      <formula>kvartal &lt; 4</formula>
    </cfRule>
  </conditionalFormatting>
  <conditionalFormatting sqref="F102">
    <cfRule type="expression" dxfId="526" priority="50">
      <formula>kvartal &lt; 4</formula>
    </cfRule>
  </conditionalFormatting>
  <conditionalFormatting sqref="J67:K71">
    <cfRule type="expression" dxfId="525" priority="49">
      <formula>kvartal &lt; 4</formula>
    </cfRule>
  </conditionalFormatting>
  <conditionalFormatting sqref="J72:K72">
    <cfRule type="expression" dxfId="524" priority="48">
      <formula>kvartal &lt; 4</formula>
    </cfRule>
  </conditionalFormatting>
  <conditionalFormatting sqref="J78:K83">
    <cfRule type="expression" dxfId="523" priority="47">
      <formula>kvartal &lt; 4</formula>
    </cfRule>
  </conditionalFormatting>
  <conditionalFormatting sqref="J88:K93">
    <cfRule type="expression" dxfId="522" priority="44">
      <formula>kvartal &lt; 4</formula>
    </cfRule>
  </conditionalFormatting>
  <conditionalFormatting sqref="J99:K104">
    <cfRule type="expression" dxfId="521" priority="43">
      <formula>kvartal &lt; 4</formula>
    </cfRule>
  </conditionalFormatting>
  <conditionalFormatting sqref="J113:K113">
    <cfRule type="expression" dxfId="520" priority="42">
      <formula>kvartal &lt; 4</formula>
    </cfRule>
  </conditionalFormatting>
  <conditionalFormatting sqref="J121:K121">
    <cfRule type="expression" dxfId="519" priority="41">
      <formula>kvartal &lt; 4</formula>
    </cfRule>
  </conditionalFormatting>
  <conditionalFormatting sqref="A23:A25">
    <cfRule type="expression" dxfId="518" priority="10">
      <formula>kvartal &lt; 4</formula>
    </cfRule>
  </conditionalFormatting>
  <conditionalFormatting sqref="A48:A50">
    <cfRule type="expression" dxfId="517" priority="9">
      <formula>kvartal &lt; 4</formula>
    </cfRule>
  </conditionalFormatting>
  <conditionalFormatting sqref="A67:A72">
    <cfRule type="expression" dxfId="516" priority="8">
      <formula>kvartal &lt; 4</formula>
    </cfRule>
  </conditionalFormatting>
  <conditionalFormatting sqref="A113">
    <cfRule type="expression" dxfId="515" priority="7">
      <formula>kvartal &lt; 4</formula>
    </cfRule>
  </conditionalFormatting>
  <conditionalFormatting sqref="A121">
    <cfRule type="expression" dxfId="514" priority="6">
      <formula>kvartal &lt; 4</formula>
    </cfRule>
  </conditionalFormatting>
  <conditionalFormatting sqref="A26">
    <cfRule type="expression" dxfId="513" priority="5">
      <formula>kvartal &lt; 4</formula>
    </cfRule>
  </conditionalFormatting>
  <conditionalFormatting sqref="A29:A31">
    <cfRule type="expression" dxfId="512" priority="4">
      <formula>kvartal &lt; 4</formula>
    </cfRule>
  </conditionalFormatting>
  <conditionalFormatting sqref="A78:A83">
    <cfRule type="expression" dxfId="511" priority="3">
      <formula>kvartal &lt; 4</formula>
    </cfRule>
  </conditionalFormatting>
  <conditionalFormatting sqref="A88:A93">
    <cfRule type="expression" dxfId="510" priority="2">
      <formula>kvartal &lt; 4</formula>
    </cfRule>
  </conditionalFormatting>
  <conditionalFormatting sqref="A99:A104">
    <cfRule type="expression" dxfId="509" priority="1">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76</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v>89622</v>
      </c>
      <c r="G7" s="296">
        <v>83675</v>
      </c>
      <c r="H7" s="336">
        <f>IF(F7=0, "    ---- ", IF(ABS(ROUND(100/F7*G7-100,1))&lt;999,ROUND(100/F7*G7-100,1),IF(ROUND(100/F7*G7-100,1)&gt;999,999,-999)))</f>
        <v>-6.6</v>
      </c>
      <c r="I7" s="157">
        <f>IFERROR(100/'Skjema total MA'!F7*G7,0)</f>
        <v>1.323109140479082</v>
      </c>
      <c r="J7" s="297">
        <f t="shared" ref="J7:K12" si="0">SUM(B7,F7)</f>
        <v>89622</v>
      </c>
      <c r="K7" s="298">
        <f t="shared" si="0"/>
        <v>83675</v>
      </c>
      <c r="L7" s="410">
        <f>IF(J7=0, "    ---- ", IF(ABS(ROUND(100/J7*K7-100,1))&lt;999,ROUND(100/J7*K7-100,1),IF(ROUND(100/J7*K7-100,1)&gt;999,999,-999)))</f>
        <v>-6.6</v>
      </c>
      <c r="M7" s="11">
        <f>IFERROR(100/'Skjema total MA'!I7*K7,0)</f>
        <v>0.8381374191739619</v>
      </c>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v>569997</v>
      </c>
      <c r="G10" s="300">
        <v>761963</v>
      </c>
      <c r="H10" s="168">
        <f>IF(F10=0, "    ---- ", IF(ABS(ROUND(100/F10*G10-100,1))&lt;999,ROUND(100/F10*G10-100,1),IF(ROUND(100/F10*G10-100,1)&gt;999,999,-999)))</f>
        <v>33.700000000000003</v>
      </c>
      <c r="I10" s="157">
        <f>IFERROR(100/'Skjema total MA'!F10*G10,0)</f>
        <v>1.9500699417298408</v>
      </c>
      <c r="J10" s="297">
        <f t="shared" si="0"/>
        <v>569997</v>
      </c>
      <c r="K10" s="298">
        <f t="shared" si="0"/>
        <v>761963</v>
      </c>
      <c r="L10" s="411">
        <f>IF(J10=0, "    ---- ", IF(ABS(ROUND(100/J10*K10-100,1))&lt;999,ROUND(100/J10*K10-100,1),IF(ROUND(100/J10*K10-100,1)&gt;999,999,-999)))</f>
        <v>33.700000000000003</v>
      </c>
      <c r="M10" s="11">
        <f>IFERROR(100/'Skjema total MA'!I10*K10,0)</f>
        <v>1.2378055866572313</v>
      </c>
      <c r="O10" s="145"/>
    </row>
    <row r="11" spans="1:15" s="41" customFormat="1" ht="15.75" x14ac:dyDescent="0.2">
      <c r="A11" s="13" t="s">
        <v>399</v>
      </c>
      <c r="B11" s="299"/>
      <c r="C11" s="300"/>
      <c r="D11" s="168"/>
      <c r="E11" s="11"/>
      <c r="F11" s="299">
        <v>6087</v>
      </c>
      <c r="G11" s="300">
        <v>5552</v>
      </c>
      <c r="H11" s="168">
        <f>IF(F11=0, "    ---- ", IF(ABS(ROUND(100/F11*G11-100,1))&lt;999,ROUND(100/F11*G11-100,1),IF(ROUND(100/F11*G11-100,1)&gt;999,999,-999)))</f>
        <v>-8.8000000000000007</v>
      </c>
      <c r="I11" s="157">
        <f>IFERROR(100/'Skjema total MA'!F11*G11,0)</f>
        <v>2.8029978350829636</v>
      </c>
      <c r="J11" s="297">
        <f t="shared" si="0"/>
        <v>6087</v>
      </c>
      <c r="K11" s="298">
        <f t="shared" si="0"/>
        <v>5552</v>
      </c>
      <c r="L11" s="411">
        <f>IF(J11=0, "    ---- ", IF(ABS(ROUND(100/J11*K11-100,1))&lt;999,ROUND(100/J11*K11-100,1),IF(ROUND(100/J11*K11-100,1)&gt;999,999,-999)))</f>
        <v>-8.8000000000000007</v>
      </c>
      <c r="M11" s="11">
        <f>IFERROR(100/'Skjema total MA'!I11*K11,0)</f>
        <v>1.9582279112693048</v>
      </c>
      <c r="N11" s="140"/>
      <c r="O11" s="145"/>
    </row>
    <row r="12" spans="1:15" s="41" customFormat="1" ht="15.75" x14ac:dyDescent="0.2">
      <c r="A12" s="39" t="s">
        <v>400</v>
      </c>
      <c r="B12" s="301"/>
      <c r="C12" s="302"/>
      <c r="D12" s="166"/>
      <c r="E12" s="34"/>
      <c r="F12" s="301">
        <v>736</v>
      </c>
      <c r="G12" s="302">
        <v>2424</v>
      </c>
      <c r="H12" s="166">
        <f>IF(F12=0, "    ---- ", IF(ABS(ROUND(100/F12*G12-100,1))&lt;999,ROUND(100/F12*G12-100,1),IF(ROUND(100/F12*G12-100,1)&gt;999,999,-999)))</f>
        <v>229.3</v>
      </c>
      <c r="I12" s="166">
        <f>IFERROR(100/'Skjema total MA'!F12*G12,0)</f>
        <v>2.4410744804106801</v>
      </c>
      <c r="J12" s="303">
        <f t="shared" si="0"/>
        <v>736</v>
      </c>
      <c r="K12" s="304">
        <f t="shared" si="0"/>
        <v>2424</v>
      </c>
      <c r="L12" s="412">
        <f>IF(J12=0, "    ---- ", IF(ABS(ROUND(100/J12*K12-100,1))&lt;999,ROUND(100/J12*K12-100,1),IF(ROUND(100/J12*K12-100,1)&gt;999,999,-999)))</f>
        <v>229.3</v>
      </c>
      <c r="M12" s="34">
        <f>IFERROR(100/'Skjema total MA'!I12*K12,0)</f>
        <v>1.9102929243540614</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v>1020</v>
      </c>
      <c r="G22" s="306">
        <v>584</v>
      </c>
      <c r="H22" s="336">
        <f>IF(F22=0, "    ---- ", IF(ABS(ROUND(100/F22*G22-100,1))&lt;999,ROUND(100/F22*G22-100,1),IF(ROUND(100/F22*G22-100,1)&gt;999,999,-999)))</f>
        <v>-42.7</v>
      </c>
      <c r="I22" s="11">
        <f>IFERROR(100/'Skjema total MA'!F22*G22,0)</f>
        <v>0.21027023059394762</v>
      </c>
      <c r="J22" s="305">
        <f>SUM(B22,F22)</f>
        <v>1020</v>
      </c>
      <c r="K22" s="305">
        <f>SUM(C22,G22)</f>
        <v>584</v>
      </c>
      <c r="L22" s="410">
        <f>IF(J22=0, "    ---- ", IF(ABS(ROUND(100/J22*K22-100,1))&lt;999,ROUND(100/J22*K22-100,1),IF(ROUND(100/J22*K22-100,1)&gt;999,999,-999)))</f>
        <v>-42.7</v>
      </c>
      <c r="M22" s="22">
        <f>IFERROR(100/'Skjema total MA'!I22*K22,0)</f>
        <v>3.7566814080021958E-2</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v>828237</v>
      </c>
      <c r="G28" s="298">
        <v>848893</v>
      </c>
      <c r="H28" s="168">
        <f>IF(F28=0, "    ---- ", IF(ABS(ROUND(100/F28*G28-100,1))&lt;999,ROUND(100/F28*G28-100,1),IF(ROUND(100/F28*G28-100,1)&gt;999,999,-999)))</f>
        <v>2.5</v>
      </c>
      <c r="I28" s="11">
        <f>IFERROR(100/'Skjema total MA'!F28*G28,0)</f>
        <v>4.3448716523467725</v>
      </c>
      <c r="J28" s="234">
        <f>SUM(B28,F28)</f>
        <v>828237</v>
      </c>
      <c r="K28" s="234">
        <f>SUM(C28,G28)</f>
        <v>848893</v>
      </c>
      <c r="L28" s="411">
        <f>IF(J28=0, "    ---- ", IF(ABS(ROUND(100/J28*K28-100,1))&lt;999,ROUND(100/J28*K28-100,1),IF(ROUND(100/J28*K28-100,1)&gt;999,999,-999)))</f>
        <v>2.5</v>
      </c>
      <c r="M28" s="22">
        <f>IFERROR(100/'Skjema total MA'!I28*K28,0)</f>
        <v>1.2016300504640642</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v>4465</v>
      </c>
      <c r="G32" s="298">
        <v>6438</v>
      </c>
      <c r="H32" s="168">
        <f>IF(F32=0, "    ---- ", IF(ABS(ROUND(100/F32*G32-100,1))&lt;999,ROUND(100/F32*G32-100,1),IF(ROUND(100/F32*G32-100,1)&gt;999,999,-999)))</f>
        <v>44.2</v>
      </c>
      <c r="I32" s="11">
        <f>IFERROR(100/'Skjema total MA'!F32*G32,0)</f>
        <v>83.719910257353774</v>
      </c>
      <c r="J32" s="234">
        <f t="shared" ref="J32:K33" si="1">SUM(B32,F32)</f>
        <v>4465</v>
      </c>
      <c r="K32" s="234">
        <f t="shared" si="1"/>
        <v>6438</v>
      </c>
      <c r="L32" s="411">
        <f>IF(J32=0, "    ---- ", IF(ABS(ROUND(100/J32*K32-100,1))&lt;999,ROUND(100/J32*K32-100,1),IF(ROUND(100/J32*K32-100,1)&gt;999,999,-999)))</f>
        <v>44.2</v>
      </c>
      <c r="M32" s="22">
        <f>IFERROR(100/'Skjema total MA'!I32*K32,0)</f>
        <v>15.100903037848429</v>
      </c>
      <c r="O32" s="145"/>
    </row>
    <row r="33" spans="1:15" ht="15.75" x14ac:dyDescent="0.2">
      <c r="A33" s="13" t="s">
        <v>400</v>
      </c>
      <c r="B33" s="234"/>
      <c r="C33" s="298"/>
      <c r="D33" s="168"/>
      <c r="E33" s="11"/>
      <c r="F33" s="297">
        <v>2918</v>
      </c>
      <c r="G33" s="298">
        <v>16704</v>
      </c>
      <c r="H33" s="168">
        <f>IF(F33=0, "    ---- ", IF(ABS(ROUND(100/F33*G33-100,1))&lt;999,ROUND(100/F33*G33-100,1),IF(ROUND(100/F33*G33-100,1)&gt;999,999,-999)))</f>
        <v>472.4</v>
      </c>
      <c r="I33" s="11">
        <f>IFERROR(100/'Skjema total MA'!F33*G33,0)</f>
        <v>20.3685333538679</v>
      </c>
      <c r="J33" s="234">
        <f t="shared" si="1"/>
        <v>2918</v>
      </c>
      <c r="K33" s="234">
        <f t="shared" si="1"/>
        <v>16704</v>
      </c>
      <c r="L33" s="411">
        <f>IF(J33=0, "    ---- ", IF(ABS(ROUND(100/J33*K33-100,1))&lt;999,ROUND(100/J33*K33-100,1),IF(ROUND(100/J33*K33-100,1)&gt;999,999,-999)))</f>
        <v>472.4</v>
      </c>
      <c r="M33" s="22">
        <f>IFERROR(100/'Skjema total MA'!I33*K33,0)</f>
        <v>67.724275918296016</v>
      </c>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v>54</v>
      </c>
      <c r="G64" s="337">
        <v>43</v>
      </c>
      <c r="H64" s="336">
        <f>IF(F64=0, "    ---- ", IF(ABS(ROUND(100/F64*G64-100,1))&lt;999,ROUND(100/F64*G64-100,1),IF(ROUND(100/F64*G64-100,1)&gt;999,999,-999)))</f>
        <v>-20.399999999999999</v>
      </c>
      <c r="I64" s="11">
        <f>IFERROR(100/'Skjema total MA'!F64*G64,0)</f>
        <v>2.184419462463656E-4</v>
      </c>
      <c r="J64" s="298">
        <f t="shared" ref="J64:K66" si="2">SUM(B64,F64)</f>
        <v>54</v>
      </c>
      <c r="K64" s="305">
        <f t="shared" si="2"/>
        <v>43</v>
      </c>
      <c r="L64" s="411">
        <f>IF(J64=0, "    ---- ", IF(ABS(ROUND(100/J64*K64-100,1))&lt;999,ROUND(100/J64*K64-100,1),IF(ROUND(100/J64*K64-100,1)&gt;999,999,-999)))</f>
        <v>-20.399999999999999</v>
      </c>
      <c r="M64" s="11">
        <f>IFERROR(100/'Skjema total MA'!I64*K64,0)</f>
        <v>1.6243272430886289E-4</v>
      </c>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v>54</v>
      </c>
      <c r="G66" s="285">
        <v>43</v>
      </c>
      <c r="H66" s="163">
        <f>IF(F66=0, "    ---- ", IF(ABS(ROUND(100/F66*G66-100,1))&lt;999,ROUND(100/F66*G66-100,1),IF(ROUND(100/F66*G66-100,1)&gt;999,999,-999)))</f>
        <v>-20.399999999999999</v>
      </c>
      <c r="I66" s="25">
        <f>IFERROR(100/'Skjema total MA'!F66*G66,0)</f>
        <v>2.2094067538090293E-4</v>
      </c>
      <c r="J66" s="282">
        <f t="shared" si="2"/>
        <v>54</v>
      </c>
      <c r="K66" s="42">
        <f t="shared" si="2"/>
        <v>43</v>
      </c>
      <c r="L66" s="253">
        <f>IF(J66=0, "    ---- ", IF(ABS(ROUND(100/J66*K66-100,1))&lt;999,ROUND(100/J66*K66-100,1),IF(ROUND(100/J66*K66-100,1)&gt;999,999,-999)))</f>
        <v>-20.399999999999999</v>
      </c>
      <c r="M66" s="25">
        <f>IFERROR(100/'Skjema total MA'!I66*K66,0)</f>
        <v>2.1938564600432965E-4</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v>54</v>
      </c>
      <c r="G84" s="142">
        <v>43</v>
      </c>
      <c r="H84" s="163">
        <f>IF(F84=0, "    ---- ", IF(ABS(ROUND(100/F84*G84-100,1))&lt;999,ROUND(100/F84*G84-100,1),IF(ROUND(100/F84*G84-100,1)&gt;999,999,-999)))</f>
        <v>-20.399999999999999</v>
      </c>
      <c r="I84" s="25">
        <f>IFERROR(100/'Skjema total MA'!F84*G84,0)</f>
        <v>0.44265550722936692</v>
      </c>
      <c r="J84" s="282">
        <f t="shared" ref="J84:K87" si="3">SUM(B84,F84)</f>
        <v>54</v>
      </c>
      <c r="K84" s="42">
        <f t="shared" si="3"/>
        <v>43</v>
      </c>
      <c r="L84" s="253">
        <f>IF(J84=0, "    ---- ", IF(ABS(ROUND(100/J84*K84-100,1))&lt;999,ROUND(100/J84*K84-100,1),IF(ROUND(100/J84*K84-100,1)&gt;999,999,-999)))</f>
        <v>-20.399999999999999</v>
      </c>
      <c r="M84" s="25">
        <f>IFERROR(100/'Skjema total MA'!I84*K84,0)</f>
        <v>2.0132243245830215E-2</v>
      </c>
      <c r="O84" s="145"/>
    </row>
    <row r="85" spans="1:15" ht="15.75" x14ac:dyDescent="0.2">
      <c r="A85" s="13" t="s">
        <v>398</v>
      </c>
      <c r="B85" s="338"/>
      <c r="C85" s="338"/>
      <c r="D85" s="168"/>
      <c r="E85" s="11"/>
      <c r="F85" s="337">
        <v>214123</v>
      </c>
      <c r="G85" s="337">
        <v>338644</v>
      </c>
      <c r="H85" s="168">
        <f>IF(F85=0, "    ---- ", IF(ABS(ROUND(100/F85*G85-100,1))&lt;999,ROUND(100/F85*G85-100,1),IF(ROUND(100/F85*G85-100,1)&gt;999,999,-999)))</f>
        <v>58.2</v>
      </c>
      <c r="I85" s="11">
        <f>IFERROR(100/'Skjema total MA'!F85*G85,0)</f>
        <v>0.16085427121460952</v>
      </c>
      <c r="J85" s="298">
        <f t="shared" si="3"/>
        <v>214123</v>
      </c>
      <c r="K85" s="234">
        <f t="shared" si="3"/>
        <v>338644</v>
      </c>
      <c r="L85" s="411">
        <f>IF(J85=0, "    ---- ", IF(ABS(ROUND(100/J85*K85-100,1))&lt;999,ROUND(100/J85*K85-100,1),IF(ROUND(100/J85*K85-100,1)&gt;999,999,-999)))</f>
        <v>58.2</v>
      </c>
      <c r="M85" s="11">
        <f>IFERROR(100/'Skjema total MA'!I85*K85,0)</f>
        <v>5.7769397496252796E-2</v>
      </c>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v>214123</v>
      </c>
      <c r="G87" s="142">
        <v>338644</v>
      </c>
      <c r="H87" s="163">
        <f>IF(F87=0, "    ---- ", IF(ABS(ROUND(100/F87*G87-100,1))&lt;999,ROUND(100/F87*G87-100,1),IF(ROUND(100/F87*G87-100,1)&gt;999,999,-999)))</f>
        <v>58.2</v>
      </c>
      <c r="I87" s="25">
        <f>IFERROR(100/'Skjema total MA'!F87*G87,0)</f>
        <v>0.16132653054959725</v>
      </c>
      <c r="J87" s="282">
        <f t="shared" si="3"/>
        <v>214123</v>
      </c>
      <c r="K87" s="42">
        <f t="shared" si="3"/>
        <v>338644</v>
      </c>
      <c r="L87" s="253">
        <f>IF(J87=0, "    ---- ", IF(ABS(ROUND(100/J87*K87-100,1))&lt;999,ROUND(100/J87*K87-100,1),IF(ROUND(100/J87*K87-100,1)&gt;999,999,-999)))</f>
        <v>58.2</v>
      </c>
      <c r="M87" s="25">
        <f>IFERROR(100/'Skjema total MA'!I87*K87,0)</f>
        <v>0.15942625937884408</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v>214123</v>
      </c>
      <c r="G105" s="142">
        <v>338644</v>
      </c>
      <c r="H105" s="163">
        <f>IF(F105=0, "    ---- ", IF(ABS(ROUND(100/F105*G105-100,1))&lt;999,ROUND(100/F105*G105-100,1),IF(ROUND(100/F105*G105-100,1)&gt;999,999,-999)))</f>
        <v>58.2</v>
      </c>
      <c r="I105" s="25">
        <f>IFERROR(100/'Skjema total MA'!F105*G105,0)</f>
        <v>61.621768247895922</v>
      </c>
      <c r="J105" s="282">
        <f t="shared" ref="J105:K109" si="4">SUM(B105,F105)</f>
        <v>214123</v>
      </c>
      <c r="K105" s="42">
        <f t="shared" si="4"/>
        <v>338644</v>
      </c>
      <c r="L105" s="253">
        <f>IF(J105=0, "    ---- ", IF(ABS(ROUND(100/J105*K105-100,1))&lt;999,ROUND(100/J105*K105-100,1),IF(ROUND(100/J105*K105-100,1)&gt;999,999,-999)))</f>
        <v>58.2</v>
      </c>
      <c r="M105" s="25">
        <f>IFERROR(100/'Skjema total MA'!I105*K105,0)</f>
        <v>6.2304255966972395</v>
      </c>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v>214123</v>
      </c>
      <c r="G107" s="232">
        <v>166257</v>
      </c>
      <c r="H107" s="163">
        <f>IF(F107=0, "    ---- ", IF(ABS(ROUND(100/F107*G107-100,1))&lt;999,ROUND(100/F107*G107-100,1),IF(ROUND(100/F107*G107-100,1)&gt;999,999,-999)))</f>
        <v>-22.4</v>
      </c>
      <c r="I107" s="25">
        <f>IFERROR(100/'Skjema total MA'!F107*G107,0)</f>
        <v>0.2478465000050534</v>
      </c>
      <c r="J107" s="282">
        <f t="shared" si="4"/>
        <v>214123</v>
      </c>
      <c r="K107" s="42">
        <f t="shared" si="4"/>
        <v>166257</v>
      </c>
      <c r="L107" s="253">
        <f>IF(J107=0, "    ---- ", IF(ABS(ROUND(100/J107*K107-100,1))&lt;999,ROUND(100/J107*K107-100,1),IF(ROUND(100/J107*K107-100,1)&gt;999,999,-999)))</f>
        <v>-22.4</v>
      </c>
      <c r="M107" s="25">
        <f>IFERROR(100/'Skjema total MA'!I107*K107,0)</f>
        <v>0.24503615834421968</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v>55314</v>
      </c>
      <c r="G109" s="156">
        <v>71075</v>
      </c>
      <c r="H109" s="168">
        <f>IF(F109=0, "    ---- ", IF(ABS(ROUND(100/F109*G109-100,1))&lt;999,ROUND(100/F109*G109-100,1),IF(ROUND(100/F109*G109-100,1)&gt;999,999,-999)))</f>
        <v>28.5</v>
      </c>
      <c r="I109" s="11">
        <f>IFERROR(100/'Skjema total MA'!F109*G109,0)</f>
        <v>0.86490821701267939</v>
      </c>
      <c r="J109" s="298">
        <f t="shared" si="4"/>
        <v>55314</v>
      </c>
      <c r="K109" s="234">
        <f t="shared" si="4"/>
        <v>71075</v>
      </c>
      <c r="L109" s="411">
        <f>IF(J109=0, "    ---- ", IF(ABS(ROUND(100/J109*K109-100,1))&lt;999,ROUND(100/J109*K109-100,1),IF(ROUND(100/J109*K109-100,1)&gt;999,999,-999)))</f>
        <v>28.5</v>
      </c>
      <c r="M109" s="11">
        <f>IFERROR(100/'Skjema total MA'!I109*K109,0)</f>
        <v>0.81854495726606091</v>
      </c>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v>55314</v>
      </c>
      <c r="G111" s="142">
        <v>71075</v>
      </c>
      <c r="H111" s="163">
        <f t="shared" ref="H111:H119" si="5">IF(F111=0, "    ---- ", IF(ABS(ROUND(100/F111*G111-100,1))&lt;999,ROUND(100/F111*G111-100,1),IF(ROUND(100/F111*G111-100,1)&gt;999,999,-999)))</f>
        <v>28.5</v>
      </c>
      <c r="I111" s="25">
        <f>IFERROR(100/'Skjema total MA'!F111*G111,0)</f>
        <v>0.86490821701267939</v>
      </c>
      <c r="J111" s="282">
        <f t="shared" ref="J111:K119" si="6">SUM(B111,F111)</f>
        <v>55314</v>
      </c>
      <c r="K111" s="42">
        <f t="shared" si="6"/>
        <v>71075</v>
      </c>
      <c r="L111" s="253">
        <f t="shared" ref="L111:L119" si="7">IF(J111=0, "    ---- ", IF(ABS(ROUND(100/J111*K111-100,1))&lt;999,ROUND(100/J111*K111-100,1),IF(ROUND(100/J111*K111-100,1)&gt;999,999,-999)))</f>
        <v>28.5</v>
      </c>
      <c r="M111" s="25">
        <f>IFERROR(100/'Skjema total MA'!I111*K111,0)</f>
        <v>0.8646249961884247</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v>55314</v>
      </c>
      <c r="G115" s="232">
        <v>71075</v>
      </c>
      <c r="H115" s="163">
        <f t="shared" si="5"/>
        <v>28.5</v>
      </c>
      <c r="I115" s="25">
        <f>IFERROR(100/'Skjema total MA'!F115*G115,0)</f>
        <v>4.9709843089861607</v>
      </c>
      <c r="J115" s="282">
        <f t="shared" si="6"/>
        <v>55314</v>
      </c>
      <c r="K115" s="42">
        <f t="shared" si="6"/>
        <v>71075</v>
      </c>
      <c r="L115" s="253">
        <f t="shared" si="7"/>
        <v>28.5</v>
      </c>
      <c r="M115" s="25">
        <f>IFERROR(100/'Skjema total MA'!I115*K115,0)</f>
        <v>4.9709843089861607</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v>695</v>
      </c>
      <c r="G117" s="156">
        <v>863</v>
      </c>
      <c r="H117" s="168">
        <f t="shared" si="5"/>
        <v>24.2</v>
      </c>
      <c r="I117" s="11">
        <f>IFERROR(100/'Skjema total MA'!F117*G117,0)</f>
        <v>1.0533650538360313E-2</v>
      </c>
      <c r="J117" s="298">
        <f t="shared" si="6"/>
        <v>695</v>
      </c>
      <c r="K117" s="234">
        <f t="shared" si="6"/>
        <v>863</v>
      </c>
      <c r="L117" s="411">
        <f t="shared" si="7"/>
        <v>24.2</v>
      </c>
      <c r="M117" s="11">
        <f>IFERROR(100/'Skjema total MA'!I117*K117,0)</f>
        <v>1.007008639920437E-2</v>
      </c>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v>695</v>
      </c>
      <c r="G119" s="142">
        <v>863</v>
      </c>
      <c r="H119" s="163">
        <f t="shared" si="5"/>
        <v>24.2</v>
      </c>
      <c r="I119" s="25">
        <f>IFERROR(100/'Skjema total MA'!F119*G119,0)</f>
        <v>1.0533650538360313E-2</v>
      </c>
      <c r="J119" s="282">
        <f t="shared" si="6"/>
        <v>695</v>
      </c>
      <c r="K119" s="42">
        <f t="shared" si="6"/>
        <v>863</v>
      </c>
      <c r="L119" s="253">
        <f t="shared" si="7"/>
        <v>24.2</v>
      </c>
      <c r="M119" s="25">
        <f>IFERROR(100/'Skjema total MA'!I119*K119,0)</f>
        <v>1.0503897554268109E-2</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508" priority="142">
      <formula>kvartal &lt; 4</formula>
    </cfRule>
  </conditionalFormatting>
  <conditionalFormatting sqref="B29">
    <cfRule type="expression" dxfId="507" priority="140">
      <formula>kvartal &lt; 4</formula>
    </cfRule>
  </conditionalFormatting>
  <conditionalFormatting sqref="B30">
    <cfRule type="expression" dxfId="506" priority="139">
      <formula>kvartal &lt; 4</formula>
    </cfRule>
  </conditionalFormatting>
  <conditionalFormatting sqref="B31">
    <cfRule type="expression" dxfId="505" priority="138">
      <formula>kvartal &lt; 4</formula>
    </cfRule>
  </conditionalFormatting>
  <conditionalFormatting sqref="C29">
    <cfRule type="expression" dxfId="504" priority="137">
      <formula>kvartal &lt; 4</formula>
    </cfRule>
  </conditionalFormatting>
  <conditionalFormatting sqref="C30">
    <cfRule type="expression" dxfId="503" priority="136">
      <formula>kvartal &lt; 4</formula>
    </cfRule>
  </conditionalFormatting>
  <conditionalFormatting sqref="C31">
    <cfRule type="expression" dxfId="502" priority="135">
      <formula>kvartal &lt; 4</formula>
    </cfRule>
  </conditionalFormatting>
  <conditionalFormatting sqref="B23:C25">
    <cfRule type="expression" dxfId="501" priority="134">
      <formula>kvartal &lt; 4</formula>
    </cfRule>
  </conditionalFormatting>
  <conditionalFormatting sqref="F23:G25">
    <cfRule type="expression" dxfId="500" priority="130">
      <formula>kvartal &lt; 4</formula>
    </cfRule>
  </conditionalFormatting>
  <conditionalFormatting sqref="F29">
    <cfRule type="expression" dxfId="499" priority="123">
      <formula>kvartal &lt; 4</formula>
    </cfRule>
  </conditionalFormatting>
  <conditionalFormatting sqref="F30">
    <cfRule type="expression" dxfId="498" priority="122">
      <formula>kvartal &lt; 4</formula>
    </cfRule>
  </conditionalFormatting>
  <conditionalFormatting sqref="F31">
    <cfRule type="expression" dxfId="497" priority="121">
      <formula>kvartal &lt; 4</formula>
    </cfRule>
  </conditionalFormatting>
  <conditionalFormatting sqref="G29">
    <cfRule type="expression" dxfId="496" priority="120">
      <formula>kvartal &lt; 4</formula>
    </cfRule>
  </conditionalFormatting>
  <conditionalFormatting sqref="G30">
    <cfRule type="expression" dxfId="495" priority="119">
      <formula>kvartal &lt; 4</formula>
    </cfRule>
  </conditionalFormatting>
  <conditionalFormatting sqref="G31">
    <cfRule type="expression" dxfId="494" priority="118">
      <formula>kvartal &lt; 4</formula>
    </cfRule>
  </conditionalFormatting>
  <conditionalFormatting sqref="B26">
    <cfRule type="expression" dxfId="493" priority="117">
      <formula>kvartal &lt; 4</formula>
    </cfRule>
  </conditionalFormatting>
  <conditionalFormatting sqref="C26">
    <cfRule type="expression" dxfId="492" priority="116">
      <formula>kvartal &lt; 4</formula>
    </cfRule>
  </conditionalFormatting>
  <conditionalFormatting sqref="F26">
    <cfRule type="expression" dxfId="491" priority="115">
      <formula>kvartal &lt; 4</formula>
    </cfRule>
  </conditionalFormatting>
  <conditionalFormatting sqref="G26">
    <cfRule type="expression" dxfId="490" priority="114">
      <formula>kvartal &lt; 4</formula>
    </cfRule>
  </conditionalFormatting>
  <conditionalFormatting sqref="J23:K26">
    <cfRule type="expression" dxfId="489" priority="113">
      <formula>kvartal &lt; 4</formula>
    </cfRule>
  </conditionalFormatting>
  <conditionalFormatting sqref="J29:K31">
    <cfRule type="expression" dxfId="488" priority="111">
      <formula>kvartal &lt; 4</formula>
    </cfRule>
  </conditionalFormatting>
  <conditionalFormatting sqref="B67">
    <cfRule type="expression" dxfId="487" priority="110">
      <formula>kvartal &lt; 4</formula>
    </cfRule>
  </conditionalFormatting>
  <conditionalFormatting sqref="C67">
    <cfRule type="expression" dxfId="486" priority="109">
      <formula>kvartal &lt; 4</formula>
    </cfRule>
  </conditionalFormatting>
  <conditionalFormatting sqref="B70">
    <cfRule type="expression" dxfId="485" priority="108">
      <formula>kvartal &lt; 4</formula>
    </cfRule>
  </conditionalFormatting>
  <conditionalFormatting sqref="C70">
    <cfRule type="expression" dxfId="484" priority="107">
      <formula>kvartal &lt; 4</formula>
    </cfRule>
  </conditionalFormatting>
  <conditionalFormatting sqref="B78">
    <cfRule type="expression" dxfId="483" priority="106">
      <formula>kvartal &lt; 4</formula>
    </cfRule>
  </conditionalFormatting>
  <conditionalFormatting sqref="C78">
    <cfRule type="expression" dxfId="482" priority="105">
      <formula>kvartal &lt; 4</formula>
    </cfRule>
  </conditionalFormatting>
  <conditionalFormatting sqref="B81">
    <cfRule type="expression" dxfId="481" priority="104">
      <formula>kvartal &lt; 4</formula>
    </cfRule>
  </conditionalFormatting>
  <conditionalFormatting sqref="C81">
    <cfRule type="expression" dxfId="480" priority="103">
      <formula>kvartal &lt; 4</formula>
    </cfRule>
  </conditionalFormatting>
  <conditionalFormatting sqref="B88">
    <cfRule type="expression" dxfId="479" priority="94">
      <formula>kvartal &lt; 4</formula>
    </cfRule>
  </conditionalFormatting>
  <conditionalFormatting sqref="C88">
    <cfRule type="expression" dxfId="478" priority="93">
      <formula>kvartal &lt; 4</formula>
    </cfRule>
  </conditionalFormatting>
  <conditionalFormatting sqref="B91">
    <cfRule type="expression" dxfId="477" priority="92">
      <formula>kvartal &lt; 4</formula>
    </cfRule>
  </conditionalFormatting>
  <conditionalFormatting sqref="C91">
    <cfRule type="expression" dxfId="476" priority="91">
      <formula>kvartal &lt; 4</formula>
    </cfRule>
  </conditionalFormatting>
  <conditionalFormatting sqref="B99">
    <cfRule type="expression" dxfId="475" priority="90">
      <formula>kvartal &lt; 4</formula>
    </cfRule>
  </conditionalFormatting>
  <conditionalFormatting sqref="C99">
    <cfRule type="expression" dxfId="474" priority="89">
      <formula>kvartal &lt; 4</formula>
    </cfRule>
  </conditionalFormatting>
  <conditionalFormatting sqref="B102">
    <cfRule type="expression" dxfId="473" priority="88">
      <formula>kvartal &lt; 4</formula>
    </cfRule>
  </conditionalFormatting>
  <conditionalFormatting sqref="C102">
    <cfRule type="expression" dxfId="472" priority="87">
      <formula>kvartal &lt; 4</formula>
    </cfRule>
  </conditionalFormatting>
  <conditionalFormatting sqref="B113">
    <cfRule type="expression" dxfId="471" priority="86">
      <formula>kvartal &lt; 4</formula>
    </cfRule>
  </conditionalFormatting>
  <conditionalFormatting sqref="C113">
    <cfRule type="expression" dxfId="470" priority="85">
      <formula>kvartal &lt; 4</formula>
    </cfRule>
  </conditionalFormatting>
  <conditionalFormatting sqref="B121">
    <cfRule type="expression" dxfId="469" priority="84">
      <formula>kvartal &lt; 4</formula>
    </cfRule>
  </conditionalFormatting>
  <conditionalFormatting sqref="C121">
    <cfRule type="expression" dxfId="468" priority="83">
      <formula>kvartal &lt; 4</formula>
    </cfRule>
  </conditionalFormatting>
  <conditionalFormatting sqref="F68">
    <cfRule type="expression" dxfId="467" priority="82">
      <formula>kvartal &lt; 4</formula>
    </cfRule>
  </conditionalFormatting>
  <conditionalFormatting sqref="G68">
    <cfRule type="expression" dxfId="466" priority="81">
      <formula>kvartal &lt; 4</formula>
    </cfRule>
  </conditionalFormatting>
  <conditionalFormatting sqref="F69:G69">
    <cfRule type="expression" dxfId="465" priority="80">
      <formula>kvartal &lt; 4</formula>
    </cfRule>
  </conditionalFormatting>
  <conditionalFormatting sqref="F71:G72">
    <cfRule type="expression" dxfId="464" priority="79">
      <formula>kvartal &lt; 4</formula>
    </cfRule>
  </conditionalFormatting>
  <conditionalFormatting sqref="F79:G80">
    <cfRule type="expression" dxfId="463" priority="78">
      <formula>kvartal &lt; 4</formula>
    </cfRule>
  </conditionalFormatting>
  <conditionalFormatting sqref="F82:G83">
    <cfRule type="expression" dxfId="462" priority="77">
      <formula>kvartal &lt; 4</formula>
    </cfRule>
  </conditionalFormatting>
  <conditionalFormatting sqref="F89:G90">
    <cfRule type="expression" dxfId="461" priority="72">
      <formula>kvartal &lt; 4</formula>
    </cfRule>
  </conditionalFormatting>
  <conditionalFormatting sqref="F92:G93">
    <cfRule type="expression" dxfId="460" priority="71">
      <formula>kvartal &lt; 4</formula>
    </cfRule>
  </conditionalFormatting>
  <conditionalFormatting sqref="F100:G101">
    <cfRule type="expression" dxfId="459" priority="70">
      <formula>kvartal &lt; 4</formula>
    </cfRule>
  </conditionalFormatting>
  <conditionalFormatting sqref="F103:G104">
    <cfRule type="expression" dxfId="458" priority="69">
      <formula>kvartal &lt; 4</formula>
    </cfRule>
  </conditionalFormatting>
  <conditionalFormatting sqref="F113">
    <cfRule type="expression" dxfId="457" priority="68">
      <formula>kvartal &lt; 4</formula>
    </cfRule>
  </conditionalFormatting>
  <conditionalFormatting sqref="G113">
    <cfRule type="expression" dxfId="456" priority="67">
      <formula>kvartal &lt; 4</formula>
    </cfRule>
  </conditionalFormatting>
  <conditionalFormatting sqref="F121:G121">
    <cfRule type="expression" dxfId="455" priority="66">
      <formula>kvartal &lt; 4</formula>
    </cfRule>
  </conditionalFormatting>
  <conditionalFormatting sqref="F67:G67">
    <cfRule type="expression" dxfId="454" priority="65">
      <formula>kvartal &lt; 4</formula>
    </cfRule>
  </conditionalFormatting>
  <conditionalFormatting sqref="F70:G70">
    <cfRule type="expression" dxfId="453" priority="64">
      <formula>kvartal &lt; 4</formula>
    </cfRule>
  </conditionalFormatting>
  <conditionalFormatting sqref="F78:G78">
    <cfRule type="expression" dxfId="452" priority="63">
      <formula>kvartal &lt; 4</formula>
    </cfRule>
  </conditionalFormatting>
  <conditionalFormatting sqref="F81:G81">
    <cfRule type="expression" dxfId="451" priority="62">
      <formula>kvartal &lt; 4</formula>
    </cfRule>
  </conditionalFormatting>
  <conditionalFormatting sqref="F88:G88">
    <cfRule type="expression" dxfId="450" priority="56">
      <formula>kvartal &lt; 4</formula>
    </cfRule>
  </conditionalFormatting>
  <conditionalFormatting sqref="F91">
    <cfRule type="expression" dxfId="449" priority="55">
      <formula>kvartal &lt; 4</formula>
    </cfRule>
  </conditionalFormatting>
  <conditionalFormatting sqref="G91">
    <cfRule type="expression" dxfId="448" priority="54">
      <formula>kvartal &lt; 4</formula>
    </cfRule>
  </conditionalFormatting>
  <conditionalFormatting sqref="F99">
    <cfRule type="expression" dxfId="447" priority="53">
      <formula>kvartal &lt; 4</formula>
    </cfRule>
  </conditionalFormatting>
  <conditionalFormatting sqref="G99">
    <cfRule type="expression" dxfId="446" priority="52">
      <formula>kvartal &lt; 4</formula>
    </cfRule>
  </conditionalFormatting>
  <conditionalFormatting sqref="G102">
    <cfRule type="expression" dxfId="445" priority="51">
      <formula>kvartal &lt; 4</formula>
    </cfRule>
  </conditionalFormatting>
  <conditionalFormatting sqref="F102">
    <cfRule type="expression" dxfId="444" priority="50">
      <formula>kvartal &lt; 4</formula>
    </cfRule>
  </conditionalFormatting>
  <conditionalFormatting sqref="J67:K71">
    <cfRule type="expression" dxfId="443" priority="49">
      <formula>kvartal &lt; 4</formula>
    </cfRule>
  </conditionalFormatting>
  <conditionalFormatting sqref="J72:K72">
    <cfRule type="expression" dxfId="442" priority="48">
      <formula>kvartal &lt; 4</formula>
    </cfRule>
  </conditionalFormatting>
  <conditionalFormatting sqref="J78:K83">
    <cfRule type="expression" dxfId="441" priority="47">
      <formula>kvartal &lt; 4</formula>
    </cfRule>
  </conditionalFormatting>
  <conditionalFormatting sqref="J88:K93">
    <cfRule type="expression" dxfId="440" priority="44">
      <formula>kvartal &lt; 4</formula>
    </cfRule>
  </conditionalFormatting>
  <conditionalFormatting sqref="J99:K104">
    <cfRule type="expression" dxfId="439" priority="43">
      <formula>kvartal &lt; 4</formula>
    </cfRule>
  </conditionalFormatting>
  <conditionalFormatting sqref="J113:K113">
    <cfRule type="expression" dxfId="438" priority="42">
      <formula>kvartal &lt; 4</formula>
    </cfRule>
  </conditionalFormatting>
  <conditionalFormatting sqref="J121:K121">
    <cfRule type="expression" dxfId="437" priority="41">
      <formula>kvartal &lt; 4</formula>
    </cfRule>
  </conditionalFormatting>
  <conditionalFormatting sqref="A23:A25">
    <cfRule type="expression" dxfId="436" priority="10">
      <formula>kvartal &lt; 4</formula>
    </cfRule>
  </conditionalFormatting>
  <conditionalFormatting sqref="A48:A50">
    <cfRule type="expression" dxfId="435" priority="9">
      <formula>kvartal &lt; 4</formula>
    </cfRule>
  </conditionalFormatting>
  <conditionalFormatting sqref="A67:A72">
    <cfRule type="expression" dxfId="434" priority="8">
      <formula>kvartal &lt; 4</formula>
    </cfRule>
  </conditionalFormatting>
  <conditionalFormatting sqref="A113">
    <cfRule type="expression" dxfId="433" priority="7">
      <formula>kvartal &lt; 4</formula>
    </cfRule>
  </conditionalFormatting>
  <conditionalFormatting sqref="A121">
    <cfRule type="expression" dxfId="432" priority="6">
      <formula>kvartal &lt; 4</formula>
    </cfRule>
  </conditionalFormatting>
  <conditionalFormatting sqref="A26">
    <cfRule type="expression" dxfId="431" priority="5">
      <formula>kvartal &lt; 4</formula>
    </cfRule>
  </conditionalFormatting>
  <conditionalFormatting sqref="A29:A31">
    <cfRule type="expression" dxfId="430" priority="4">
      <formula>kvartal &lt; 4</formula>
    </cfRule>
  </conditionalFormatting>
  <conditionalFormatting sqref="A78:A83">
    <cfRule type="expression" dxfId="429" priority="3">
      <formula>kvartal &lt; 4</formula>
    </cfRule>
  </conditionalFormatting>
  <conditionalFormatting sqref="A88:A93">
    <cfRule type="expression" dxfId="428" priority="2">
      <formula>kvartal &lt; 4</formula>
    </cfRule>
  </conditionalFormatting>
  <conditionalFormatting sqref="A99:A104">
    <cfRule type="expression" dxfId="427" priority="1">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42"/>
  <sheetViews>
    <sheetView showGridLines="0" zoomScaleNormal="100" workbookViewId="0"/>
  </sheetViews>
  <sheetFormatPr baseColWidth="10" defaultColWidth="11.42578125" defaultRowHeight="12.75" x14ac:dyDescent="0.2"/>
  <cols>
    <col min="1" max="1" width="44.42578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145</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v>-0.69540974</v>
      </c>
      <c r="G22" s="306"/>
      <c r="H22" s="336"/>
      <c r="I22" s="11"/>
      <c r="J22" s="305">
        <f>SUM(B22,F22)</f>
        <v>-0.69540974</v>
      </c>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v>175480.55665000001</v>
      </c>
      <c r="G28" s="298"/>
      <c r="H28" s="168"/>
      <c r="I28" s="11"/>
      <c r="J28" s="234">
        <f>SUM(B28,F28)</f>
        <v>175480.55665000001</v>
      </c>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c r="C45" s="300"/>
      <c r="D45" s="410"/>
      <c r="E45" s="11"/>
      <c r="F45" s="142"/>
      <c r="G45" s="31"/>
      <c r="H45" s="156"/>
      <c r="I45" s="156"/>
      <c r="J45" s="35"/>
      <c r="K45" s="35"/>
      <c r="L45" s="156"/>
      <c r="M45" s="156"/>
      <c r="N45" s="145"/>
      <c r="O45" s="145"/>
    </row>
    <row r="46" spans="1:15" s="3" customFormat="1" ht="15.75" x14ac:dyDescent="0.2">
      <c r="A46" s="36" t="s">
        <v>407</v>
      </c>
      <c r="B46" s="278"/>
      <c r="C46" s="279"/>
      <c r="D46" s="253"/>
      <c r="E46" s="25"/>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v>8663691.5365299992</v>
      </c>
      <c r="C85" s="338"/>
      <c r="D85" s="168"/>
      <c r="E85" s="11"/>
      <c r="F85" s="337">
        <v>256767.70606999999</v>
      </c>
      <c r="G85" s="337"/>
      <c r="H85" s="168"/>
      <c r="I85" s="11"/>
      <c r="J85" s="298">
        <f t="shared" ref="J85:J87" si="0">SUM(B85,F85)</f>
        <v>8920459.2425999995</v>
      </c>
      <c r="K85" s="234"/>
      <c r="L85" s="411"/>
      <c r="M85" s="11"/>
      <c r="O85" s="145"/>
    </row>
    <row r="86" spans="1:15" x14ac:dyDescent="0.2">
      <c r="A86" s="19" t="s">
        <v>9</v>
      </c>
      <c r="B86" s="232">
        <v>8663691.5365299992</v>
      </c>
      <c r="C86" s="142"/>
      <c r="D86" s="163"/>
      <c r="E86" s="25"/>
      <c r="F86" s="232"/>
      <c r="G86" s="142"/>
      <c r="H86" s="163"/>
      <c r="I86" s="25"/>
      <c r="J86" s="282">
        <f t="shared" si="0"/>
        <v>8663691.5365299992</v>
      </c>
      <c r="K86" s="42"/>
      <c r="L86" s="253"/>
      <c r="M86" s="25"/>
      <c r="O86" s="145"/>
    </row>
    <row r="87" spans="1:15" x14ac:dyDescent="0.2">
      <c r="A87" s="19" t="s">
        <v>10</v>
      </c>
      <c r="B87" s="232"/>
      <c r="C87" s="142"/>
      <c r="D87" s="163"/>
      <c r="E87" s="25"/>
      <c r="F87" s="232">
        <v>256767.70606999999</v>
      </c>
      <c r="G87" s="142"/>
      <c r="H87" s="163"/>
      <c r="I87" s="25"/>
      <c r="J87" s="282">
        <f t="shared" si="0"/>
        <v>256767.70606999999</v>
      </c>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v>8663691.5365299992</v>
      </c>
      <c r="C96" s="232"/>
      <c r="D96" s="163"/>
      <c r="E96" s="25"/>
      <c r="F96" s="284">
        <v>256767.70606999999</v>
      </c>
      <c r="G96" s="284"/>
      <c r="H96" s="163"/>
      <c r="I96" s="25"/>
      <c r="J96" s="282">
        <f t="shared" ref="J96:J98" si="1">SUM(B96,F96)</f>
        <v>8920459.2425999995</v>
      </c>
      <c r="K96" s="42"/>
      <c r="L96" s="253"/>
      <c r="M96" s="25"/>
      <c r="O96" s="145"/>
    </row>
    <row r="97" spans="1:15" x14ac:dyDescent="0.2">
      <c r="A97" s="19" t="s">
        <v>9</v>
      </c>
      <c r="B97" s="284">
        <v>8663691.5365299992</v>
      </c>
      <c r="C97" s="285"/>
      <c r="D97" s="163"/>
      <c r="E97" s="25"/>
      <c r="F97" s="232"/>
      <c r="G97" s="142"/>
      <c r="H97" s="163"/>
      <c r="I97" s="25"/>
      <c r="J97" s="282">
        <f t="shared" si="1"/>
        <v>8663691.5365299992</v>
      </c>
      <c r="K97" s="42"/>
      <c r="L97" s="253"/>
      <c r="M97" s="25"/>
      <c r="O97" s="145"/>
    </row>
    <row r="98" spans="1:15" x14ac:dyDescent="0.2">
      <c r="A98" s="19" t="s">
        <v>10</v>
      </c>
      <c r="B98" s="284"/>
      <c r="C98" s="285"/>
      <c r="D98" s="163"/>
      <c r="E98" s="25"/>
      <c r="F98" s="232">
        <v>256767.70606999999</v>
      </c>
      <c r="G98" s="232"/>
      <c r="H98" s="163"/>
      <c r="I98" s="25"/>
      <c r="J98" s="282">
        <f t="shared" si="1"/>
        <v>256767.70606999999</v>
      </c>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v>8663691.5365299992</v>
      </c>
      <c r="C106" s="232"/>
      <c r="D106" s="163"/>
      <c r="E106" s="25"/>
      <c r="F106" s="232"/>
      <c r="G106" s="232"/>
      <c r="H106" s="163"/>
      <c r="I106" s="25"/>
      <c r="J106" s="282">
        <f t="shared" ref="J106:J107" si="2">SUM(B106,F106)</f>
        <v>8663691.5365299992</v>
      </c>
      <c r="K106" s="42"/>
      <c r="L106" s="253"/>
      <c r="M106" s="25"/>
      <c r="O106" s="145"/>
    </row>
    <row r="107" spans="1:15" ht="15.75" x14ac:dyDescent="0.2">
      <c r="A107" s="19" t="s">
        <v>414</v>
      </c>
      <c r="B107" s="232"/>
      <c r="C107" s="232"/>
      <c r="D107" s="163"/>
      <c r="E107" s="25"/>
      <c r="F107" s="232">
        <v>256767.70606999999</v>
      </c>
      <c r="G107" s="232"/>
      <c r="H107" s="163"/>
      <c r="I107" s="25"/>
      <c r="J107" s="282">
        <f t="shared" si="2"/>
        <v>256767.70606999999</v>
      </c>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7054.66392</v>
      </c>
      <c r="C117" s="156"/>
      <c r="D117" s="168"/>
      <c r="E117" s="11"/>
      <c r="F117" s="297">
        <v>103175</v>
      </c>
      <c r="G117" s="156"/>
      <c r="H117" s="168"/>
      <c r="I117" s="11"/>
      <c r="J117" s="298">
        <f t="shared" ref="J117:J123" si="3">SUM(B117,F117)</f>
        <v>110229.66392000001</v>
      </c>
      <c r="K117" s="234"/>
      <c r="L117" s="411"/>
      <c r="M117" s="11"/>
      <c r="O117" s="145"/>
    </row>
    <row r="118" spans="1:15" x14ac:dyDescent="0.2">
      <c r="A118" s="19" t="s">
        <v>9</v>
      </c>
      <c r="B118" s="232">
        <v>7054.66392</v>
      </c>
      <c r="C118" s="142"/>
      <c r="D118" s="163"/>
      <c r="E118" s="25"/>
      <c r="F118" s="232"/>
      <c r="G118" s="142"/>
      <c r="H118" s="163"/>
      <c r="I118" s="25"/>
      <c r="J118" s="282">
        <f t="shared" si="3"/>
        <v>7054.66392</v>
      </c>
      <c r="K118" s="42"/>
      <c r="L118" s="253"/>
      <c r="M118" s="25"/>
      <c r="O118" s="145"/>
    </row>
    <row r="119" spans="1:15" x14ac:dyDescent="0.2">
      <c r="A119" s="19" t="s">
        <v>10</v>
      </c>
      <c r="B119" s="232"/>
      <c r="C119" s="142"/>
      <c r="D119" s="163"/>
      <c r="E119" s="25"/>
      <c r="F119" s="232">
        <v>103175</v>
      </c>
      <c r="G119" s="142"/>
      <c r="H119" s="163"/>
      <c r="I119" s="25"/>
      <c r="J119" s="282">
        <f t="shared" si="3"/>
        <v>103175</v>
      </c>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v>7054.66392</v>
      </c>
      <c r="C122" s="232"/>
      <c r="D122" s="163"/>
      <c r="E122" s="25"/>
      <c r="F122" s="232"/>
      <c r="G122" s="232"/>
      <c r="H122" s="163"/>
      <c r="I122" s="25"/>
      <c r="J122" s="282">
        <f t="shared" si="3"/>
        <v>7054.66392</v>
      </c>
      <c r="K122" s="42"/>
      <c r="L122" s="253"/>
      <c r="M122" s="25"/>
      <c r="O122" s="145"/>
    </row>
    <row r="123" spans="1:15" ht="15.75" x14ac:dyDescent="0.2">
      <c r="A123" s="19" t="s">
        <v>414</v>
      </c>
      <c r="B123" s="232"/>
      <c r="C123" s="232"/>
      <c r="D123" s="163"/>
      <c r="E123" s="25"/>
      <c r="F123" s="232">
        <v>103175.25993</v>
      </c>
      <c r="G123" s="232"/>
      <c r="H123" s="163"/>
      <c r="I123" s="25"/>
      <c r="J123" s="282">
        <f t="shared" si="3"/>
        <v>103175.25993</v>
      </c>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426" priority="142">
      <formula>kvartal &lt; 4</formula>
    </cfRule>
  </conditionalFormatting>
  <conditionalFormatting sqref="B29">
    <cfRule type="expression" dxfId="425" priority="140">
      <formula>kvartal &lt; 4</formula>
    </cfRule>
  </conditionalFormatting>
  <conditionalFormatting sqref="B30">
    <cfRule type="expression" dxfId="424" priority="139">
      <formula>kvartal &lt; 4</formula>
    </cfRule>
  </conditionalFormatting>
  <conditionalFormatting sqref="B31">
    <cfRule type="expression" dxfId="423" priority="138">
      <formula>kvartal &lt; 4</formula>
    </cfRule>
  </conditionalFormatting>
  <conditionalFormatting sqref="C29">
    <cfRule type="expression" dxfId="422" priority="137">
      <formula>kvartal &lt; 4</formula>
    </cfRule>
  </conditionalFormatting>
  <conditionalFormatting sqref="C30">
    <cfRule type="expression" dxfId="421" priority="136">
      <formula>kvartal &lt; 4</formula>
    </cfRule>
  </conditionalFormatting>
  <conditionalFormatting sqref="C31">
    <cfRule type="expression" dxfId="420" priority="135">
      <formula>kvartal &lt; 4</formula>
    </cfRule>
  </conditionalFormatting>
  <conditionalFormatting sqref="B23:C25">
    <cfRule type="expression" dxfId="419" priority="134">
      <formula>kvartal &lt; 4</formula>
    </cfRule>
  </conditionalFormatting>
  <conditionalFormatting sqref="F23:G25">
    <cfRule type="expression" dxfId="418" priority="130">
      <formula>kvartal &lt; 4</formula>
    </cfRule>
  </conditionalFormatting>
  <conditionalFormatting sqref="F29">
    <cfRule type="expression" dxfId="417" priority="123">
      <formula>kvartal &lt; 4</formula>
    </cfRule>
  </conditionalFormatting>
  <conditionalFormatting sqref="F30">
    <cfRule type="expression" dxfId="416" priority="122">
      <formula>kvartal &lt; 4</formula>
    </cfRule>
  </conditionalFormatting>
  <conditionalFormatting sqref="F31">
    <cfRule type="expression" dxfId="415" priority="121">
      <formula>kvartal &lt; 4</formula>
    </cfRule>
  </conditionalFormatting>
  <conditionalFormatting sqref="G29">
    <cfRule type="expression" dxfId="414" priority="120">
      <formula>kvartal &lt; 4</formula>
    </cfRule>
  </conditionalFormatting>
  <conditionalFormatting sqref="G30">
    <cfRule type="expression" dxfId="413" priority="119">
      <formula>kvartal &lt; 4</formula>
    </cfRule>
  </conditionalFormatting>
  <conditionalFormatting sqref="G31">
    <cfRule type="expression" dxfId="412" priority="118">
      <formula>kvartal &lt; 4</formula>
    </cfRule>
  </conditionalFormatting>
  <conditionalFormatting sqref="B26">
    <cfRule type="expression" dxfId="411" priority="117">
      <formula>kvartal &lt; 4</formula>
    </cfRule>
  </conditionalFormatting>
  <conditionalFormatting sqref="C26">
    <cfRule type="expression" dxfId="410" priority="116">
      <formula>kvartal &lt; 4</formula>
    </cfRule>
  </conditionalFormatting>
  <conditionalFormatting sqref="F26">
    <cfRule type="expression" dxfId="409" priority="115">
      <formula>kvartal &lt; 4</formula>
    </cfRule>
  </conditionalFormatting>
  <conditionalFormatting sqref="G26">
    <cfRule type="expression" dxfId="408" priority="114">
      <formula>kvartal &lt; 4</formula>
    </cfRule>
  </conditionalFormatting>
  <conditionalFormatting sqref="J23:K26">
    <cfRule type="expression" dxfId="407" priority="113">
      <formula>kvartal &lt; 4</formula>
    </cfRule>
  </conditionalFormatting>
  <conditionalFormatting sqref="J29:K31">
    <cfRule type="expression" dxfId="406" priority="111">
      <formula>kvartal &lt; 4</formula>
    </cfRule>
  </conditionalFormatting>
  <conditionalFormatting sqref="B67">
    <cfRule type="expression" dxfId="405" priority="110">
      <formula>kvartal &lt; 4</formula>
    </cfRule>
  </conditionalFormatting>
  <conditionalFormatting sqref="C67">
    <cfRule type="expression" dxfId="404" priority="109">
      <formula>kvartal &lt; 4</formula>
    </cfRule>
  </conditionalFormatting>
  <conditionalFormatting sqref="B70">
    <cfRule type="expression" dxfId="403" priority="108">
      <formula>kvartal &lt; 4</formula>
    </cfRule>
  </conditionalFormatting>
  <conditionalFormatting sqref="C70">
    <cfRule type="expression" dxfId="402" priority="107">
      <formula>kvartal &lt; 4</formula>
    </cfRule>
  </conditionalFormatting>
  <conditionalFormatting sqref="B78">
    <cfRule type="expression" dxfId="401" priority="106">
      <formula>kvartal &lt; 4</formula>
    </cfRule>
  </conditionalFormatting>
  <conditionalFormatting sqref="C78">
    <cfRule type="expression" dxfId="400" priority="105">
      <formula>kvartal &lt; 4</formula>
    </cfRule>
  </conditionalFormatting>
  <conditionalFormatting sqref="B81">
    <cfRule type="expression" dxfId="399" priority="104">
      <formula>kvartal &lt; 4</formula>
    </cfRule>
  </conditionalFormatting>
  <conditionalFormatting sqref="C81">
    <cfRule type="expression" dxfId="398" priority="103">
      <formula>kvartal &lt; 4</formula>
    </cfRule>
  </conditionalFormatting>
  <conditionalFormatting sqref="B88">
    <cfRule type="expression" dxfId="397" priority="94">
      <formula>kvartal &lt; 4</formula>
    </cfRule>
  </conditionalFormatting>
  <conditionalFormatting sqref="C88">
    <cfRule type="expression" dxfId="396" priority="93">
      <formula>kvartal &lt; 4</formula>
    </cfRule>
  </conditionalFormatting>
  <conditionalFormatting sqref="B91">
    <cfRule type="expression" dxfId="395" priority="92">
      <formula>kvartal &lt; 4</formula>
    </cfRule>
  </conditionalFormatting>
  <conditionalFormatting sqref="C91">
    <cfRule type="expression" dxfId="394" priority="91">
      <formula>kvartal &lt; 4</formula>
    </cfRule>
  </conditionalFormatting>
  <conditionalFormatting sqref="B99">
    <cfRule type="expression" dxfId="393" priority="90">
      <formula>kvartal &lt; 4</formula>
    </cfRule>
  </conditionalFormatting>
  <conditionalFormatting sqref="C99">
    <cfRule type="expression" dxfId="392" priority="89">
      <formula>kvartal &lt; 4</formula>
    </cfRule>
  </conditionalFormatting>
  <conditionalFormatting sqref="B102">
    <cfRule type="expression" dxfId="391" priority="88">
      <formula>kvartal &lt; 4</formula>
    </cfRule>
  </conditionalFormatting>
  <conditionalFormatting sqref="C102">
    <cfRule type="expression" dxfId="390" priority="87">
      <formula>kvartal &lt; 4</formula>
    </cfRule>
  </conditionalFormatting>
  <conditionalFormatting sqref="B113">
    <cfRule type="expression" dxfId="389" priority="86">
      <formula>kvartal &lt; 4</formula>
    </cfRule>
  </conditionalFormatting>
  <conditionalFormatting sqref="C113">
    <cfRule type="expression" dxfId="388" priority="85">
      <formula>kvartal &lt; 4</formula>
    </cfRule>
  </conditionalFormatting>
  <conditionalFormatting sqref="B121">
    <cfRule type="expression" dxfId="387" priority="84">
      <formula>kvartal &lt; 4</formula>
    </cfRule>
  </conditionalFormatting>
  <conditionalFormatting sqref="C121">
    <cfRule type="expression" dxfId="386" priority="83">
      <formula>kvartal &lt; 4</formula>
    </cfRule>
  </conditionalFormatting>
  <conditionalFormatting sqref="F68">
    <cfRule type="expression" dxfId="385" priority="82">
      <formula>kvartal &lt; 4</formula>
    </cfRule>
  </conditionalFormatting>
  <conditionalFormatting sqref="G68">
    <cfRule type="expression" dxfId="384" priority="81">
      <formula>kvartal &lt; 4</formula>
    </cfRule>
  </conditionalFormatting>
  <conditionalFormatting sqref="F69:G69">
    <cfRule type="expression" dxfId="383" priority="80">
      <formula>kvartal &lt; 4</formula>
    </cfRule>
  </conditionalFormatting>
  <conditionalFormatting sqref="F71:G72">
    <cfRule type="expression" dxfId="382" priority="79">
      <formula>kvartal &lt; 4</formula>
    </cfRule>
  </conditionalFormatting>
  <conditionalFormatting sqref="F79:G80">
    <cfRule type="expression" dxfId="381" priority="78">
      <formula>kvartal &lt; 4</formula>
    </cfRule>
  </conditionalFormatting>
  <conditionalFormatting sqref="F82:G83">
    <cfRule type="expression" dxfId="380" priority="77">
      <formula>kvartal &lt; 4</formula>
    </cfRule>
  </conditionalFormatting>
  <conditionalFormatting sqref="F89:G90">
    <cfRule type="expression" dxfId="379" priority="72">
      <formula>kvartal &lt; 4</formula>
    </cfRule>
  </conditionalFormatting>
  <conditionalFormatting sqref="F92:G93">
    <cfRule type="expression" dxfId="378" priority="71">
      <formula>kvartal &lt; 4</formula>
    </cfRule>
  </conditionalFormatting>
  <conditionalFormatting sqref="F100:G101">
    <cfRule type="expression" dxfId="377" priority="70">
      <formula>kvartal &lt; 4</formula>
    </cfRule>
  </conditionalFormatting>
  <conditionalFormatting sqref="F103:G104">
    <cfRule type="expression" dxfId="376" priority="69">
      <formula>kvartal &lt; 4</formula>
    </cfRule>
  </conditionalFormatting>
  <conditionalFormatting sqref="F113">
    <cfRule type="expression" dxfId="375" priority="68">
      <formula>kvartal &lt; 4</formula>
    </cfRule>
  </conditionalFormatting>
  <conditionalFormatting sqref="G113">
    <cfRule type="expression" dxfId="374" priority="67">
      <formula>kvartal &lt; 4</formula>
    </cfRule>
  </conditionalFormatting>
  <conditionalFormatting sqref="F121:G121">
    <cfRule type="expression" dxfId="373" priority="66">
      <formula>kvartal &lt; 4</formula>
    </cfRule>
  </conditionalFormatting>
  <conditionalFormatting sqref="F67:G67">
    <cfRule type="expression" dxfId="372" priority="65">
      <formula>kvartal &lt; 4</formula>
    </cfRule>
  </conditionalFormatting>
  <conditionalFormatting sqref="F70:G70">
    <cfRule type="expression" dxfId="371" priority="64">
      <formula>kvartal &lt; 4</formula>
    </cfRule>
  </conditionalFormatting>
  <conditionalFormatting sqref="F78:G78">
    <cfRule type="expression" dxfId="370" priority="63">
      <formula>kvartal &lt; 4</formula>
    </cfRule>
  </conditionalFormatting>
  <conditionalFormatting sqref="F81:G81">
    <cfRule type="expression" dxfId="369" priority="62">
      <formula>kvartal &lt; 4</formula>
    </cfRule>
  </conditionalFormatting>
  <conditionalFormatting sqref="F88:G88">
    <cfRule type="expression" dxfId="368" priority="56">
      <formula>kvartal &lt; 4</formula>
    </cfRule>
  </conditionalFormatting>
  <conditionalFormatting sqref="F91">
    <cfRule type="expression" dxfId="367" priority="55">
      <formula>kvartal &lt; 4</formula>
    </cfRule>
  </conditionalFormatting>
  <conditionalFormatting sqref="G91">
    <cfRule type="expression" dxfId="366" priority="54">
      <formula>kvartal &lt; 4</formula>
    </cfRule>
  </conditionalFormatting>
  <conditionalFormatting sqref="F99">
    <cfRule type="expression" dxfId="365" priority="53">
      <formula>kvartal &lt; 4</formula>
    </cfRule>
  </conditionalFormatting>
  <conditionalFormatting sqref="G99">
    <cfRule type="expression" dxfId="364" priority="52">
      <formula>kvartal &lt; 4</formula>
    </cfRule>
  </conditionalFormatting>
  <conditionalFormatting sqref="G102">
    <cfRule type="expression" dxfId="363" priority="51">
      <formula>kvartal &lt; 4</formula>
    </cfRule>
  </conditionalFormatting>
  <conditionalFormatting sqref="F102">
    <cfRule type="expression" dxfId="362" priority="50">
      <formula>kvartal &lt; 4</formula>
    </cfRule>
  </conditionalFormatting>
  <conditionalFormatting sqref="J67:K71">
    <cfRule type="expression" dxfId="361" priority="49">
      <formula>kvartal &lt; 4</formula>
    </cfRule>
  </conditionalFormatting>
  <conditionalFormatting sqref="J72:K72">
    <cfRule type="expression" dxfId="360" priority="48">
      <formula>kvartal &lt; 4</formula>
    </cfRule>
  </conditionalFormatting>
  <conditionalFormatting sqref="J78:K83">
    <cfRule type="expression" dxfId="359" priority="47">
      <formula>kvartal &lt; 4</formula>
    </cfRule>
  </conditionalFormatting>
  <conditionalFormatting sqref="J88:K93">
    <cfRule type="expression" dxfId="358" priority="44">
      <formula>kvartal &lt; 4</formula>
    </cfRule>
  </conditionalFormatting>
  <conditionalFormatting sqref="J99:K104">
    <cfRule type="expression" dxfId="357" priority="43">
      <formula>kvartal &lt; 4</formula>
    </cfRule>
  </conditionalFormatting>
  <conditionalFormatting sqref="J113:K113">
    <cfRule type="expression" dxfId="356" priority="42">
      <formula>kvartal &lt; 4</formula>
    </cfRule>
  </conditionalFormatting>
  <conditionalFormatting sqref="J121:K121">
    <cfRule type="expression" dxfId="355" priority="41">
      <formula>kvartal &lt; 4</formula>
    </cfRule>
  </conditionalFormatting>
  <conditionalFormatting sqref="A23:A25">
    <cfRule type="expression" dxfId="354" priority="10">
      <formula>kvartal &lt; 4</formula>
    </cfRule>
  </conditionalFormatting>
  <conditionalFormatting sqref="A48:A50">
    <cfRule type="expression" dxfId="353" priority="9">
      <formula>kvartal &lt; 4</formula>
    </cfRule>
  </conditionalFormatting>
  <conditionalFormatting sqref="A67:A72">
    <cfRule type="expression" dxfId="352" priority="8">
      <formula>kvartal &lt; 4</formula>
    </cfRule>
  </conditionalFormatting>
  <conditionalFormatting sqref="A113">
    <cfRule type="expression" dxfId="351" priority="7">
      <formula>kvartal &lt; 4</formula>
    </cfRule>
  </conditionalFormatting>
  <conditionalFormatting sqref="A121">
    <cfRule type="expression" dxfId="350" priority="6">
      <formula>kvartal &lt; 4</formula>
    </cfRule>
  </conditionalFormatting>
  <conditionalFormatting sqref="A26">
    <cfRule type="expression" dxfId="349" priority="5">
      <formula>kvartal &lt; 4</formula>
    </cfRule>
  </conditionalFormatting>
  <conditionalFormatting sqref="A29:A31">
    <cfRule type="expression" dxfId="348" priority="4">
      <formula>kvartal &lt; 4</formula>
    </cfRule>
  </conditionalFormatting>
  <conditionalFormatting sqref="A78:A83">
    <cfRule type="expression" dxfId="347" priority="3">
      <formula>kvartal &lt; 4</formula>
    </cfRule>
  </conditionalFormatting>
  <conditionalFormatting sqref="A88:A93">
    <cfRule type="expression" dxfId="346" priority="2">
      <formula>kvartal &lt; 4</formula>
    </cfRule>
  </conditionalFormatting>
  <conditionalFormatting sqref="A99:A104">
    <cfRule type="expression" dxfId="345" priority="1">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147</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561383.68863999995</v>
      </c>
      <c r="C7" s="296">
        <v>588952.93865000003</v>
      </c>
      <c r="D7" s="336">
        <f t="shared" ref="D7:D10" si="0">IF(B7=0, "    ---- ", IF(ABS(ROUND(100/B7*C7-100,1))&lt;999,ROUND(100/B7*C7-100,1),IF(ROUND(100/B7*C7-100,1)&gt;999,999,-999)))</f>
        <v>4.9000000000000004</v>
      </c>
      <c r="E7" s="11">
        <f>IFERROR(100/'Skjema total MA'!C7*C7,0)</f>
        <v>16.094569202047719</v>
      </c>
      <c r="F7" s="295">
        <v>113362.21180999999</v>
      </c>
      <c r="G7" s="296">
        <v>203754.50091999999</v>
      </c>
      <c r="H7" s="336">
        <f>IF(F7=0, "    ---- ", IF(ABS(ROUND(100/F7*G7-100,1))&lt;999,ROUND(100/F7*G7-100,1),IF(ROUND(100/F7*G7-100,1)&gt;999,999,-999)))</f>
        <v>79.7</v>
      </c>
      <c r="I7" s="157">
        <f>IFERROR(100/'Skjema total MA'!F7*G7,0)</f>
        <v>3.221863669925372</v>
      </c>
      <c r="J7" s="297">
        <f t="shared" ref="J7:K12" si="1">SUM(B7,F7)</f>
        <v>674745.90044999996</v>
      </c>
      <c r="K7" s="298">
        <f t="shared" si="1"/>
        <v>792707.43957000005</v>
      </c>
      <c r="L7" s="410">
        <f>IF(J7=0, "    ---- ", IF(ABS(ROUND(100/J7*K7-100,1))&lt;999,ROUND(100/J7*K7-100,1),IF(ROUND(100/J7*K7-100,1)&gt;999,999,-999)))</f>
        <v>17.5</v>
      </c>
      <c r="M7" s="11">
        <f>IFERROR(100/'Skjema total MA'!I7*K7,0)</f>
        <v>7.9402183156402657</v>
      </c>
      <c r="O7" s="145"/>
    </row>
    <row r="8" spans="1:15" ht="15.75" x14ac:dyDescent="0.2">
      <c r="A8" s="19" t="s">
        <v>26</v>
      </c>
      <c r="B8" s="278">
        <v>491919</v>
      </c>
      <c r="C8" s="279">
        <v>521376</v>
      </c>
      <c r="D8" s="163">
        <f t="shared" si="0"/>
        <v>6</v>
      </c>
      <c r="E8" s="25">
        <f>IFERROR(100/'Skjema total MA'!C8*C8,0)</f>
        <v>26.438065990557543</v>
      </c>
      <c r="F8" s="653"/>
      <c r="G8" s="654"/>
      <c r="H8" s="163"/>
      <c r="I8" s="173"/>
      <c r="J8" s="232">
        <f t="shared" si="1"/>
        <v>491919</v>
      </c>
      <c r="K8" s="282">
        <f t="shared" si="1"/>
        <v>521376</v>
      </c>
      <c r="L8" s="253"/>
      <c r="M8" s="25">
        <f>IFERROR(100/'Skjema total MA'!I8*K8,0)</f>
        <v>26.438065990557543</v>
      </c>
      <c r="O8" s="145"/>
    </row>
    <row r="9" spans="1:15" ht="15.75" x14ac:dyDescent="0.2">
      <c r="A9" s="19" t="s">
        <v>25</v>
      </c>
      <c r="B9" s="278">
        <v>67504</v>
      </c>
      <c r="C9" s="279">
        <v>66044</v>
      </c>
      <c r="D9" s="163">
        <f t="shared" si="0"/>
        <v>-2.2000000000000002</v>
      </c>
      <c r="E9" s="25">
        <f>IFERROR(100/'Skjema total MA'!C9*C9,0)</f>
        <v>7.3547144886606297</v>
      </c>
      <c r="F9" s="653"/>
      <c r="G9" s="654"/>
      <c r="H9" s="163"/>
      <c r="I9" s="173"/>
      <c r="J9" s="232">
        <f t="shared" si="1"/>
        <v>67504</v>
      </c>
      <c r="K9" s="282">
        <f t="shared" si="1"/>
        <v>66044</v>
      </c>
      <c r="L9" s="253"/>
      <c r="M9" s="25">
        <f>IFERROR(100/'Skjema total MA'!I9*K9,0)</f>
        <v>7.3547144886606297</v>
      </c>
      <c r="O9" s="145"/>
    </row>
    <row r="10" spans="1:15" ht="15.75" x14ac:dyDescent="0.2">
      <c r="A10" s="13" t="s">
        <v>398</v>
      </c>
      <c r="B10" s="299">
        <v>942687.18053000001</v>
      </c>
      <c r="C10" s="300">
        <v>910862.72031999996</v>
      </c>
      <c r="D10" s="168">
        <f t="shared" si="0"/>
        <v>-3.4</v>
      </c>
      <c r="E10" s="11">
        <f>IFERROR(100/'Skjema total MA'!C10*C10,0)</f>
        <v>4.0511699302580126</v>
      </c>
      <c r="F10" s="299">
        <v>1703306.5423399999</v>
      </c>
      <c r="G10" s="300">
        <v>2060106.22566</v>
      </c>
      <c r="H10" s="168">
        <f>IF(F10=0, "    ---- ", IF(ABS(ROUND(100/F10*G10-100,1))&lt;999,ROUND(100/F10*G10-100,1),IF(ROUND(100/F10*G10-100,1)&gt;999,999,-999)))</f>
        <v>20.9</v>
      </c>
      <c r="I10" s="157">
        <f>IFERROR(100/'Skjema total MA'!F10*G10,0)</f>
        <v>5.2723704791834756</v>
      </c>
      <c r="J10" s="297">
        <f t="shared" si="1"/>
        <v>2645993.7228699997</v>
      </c>
      <c r="K10" s="298">
        <f t="shared" si="1"/>
        <v>2970968.9459799998</v>
      </c>
      <c r="L10" s="411">
        <f>IF(J10=0, "    ---- ", IF(ABS(ROUND(100/J10*K10-100,1))&lt;999,ROUND(100/J10*K10-100,1),IF(ROUND(100/J10*K10-100,1)&gt;999,999,-999)))</f>
        <v>12.3</v>
      </c>
      <c r="M10" s="11">
        <f>IFERROR(100/'Skjema total MA'!I10*K10,0)</f>
        <v>4.8263261590381559</v>
      </c>
      <c r="O10" s="145"/>
    </row>
    <row r="11" spans="1:15" s="41" customFormat="1" ht="15.75" x14ac:dyDescent="0.2">
      <c r="A11" s="13" t="s">
        <v>399</v>
      </c>
      <c r="B11" s="299"/>
      <c r="C11" s="300"/>
      <c r="D11" s="168"/>
      <c r="E11" s="11"/>
      <c r="F11" s="299">
        <v>11534.62168</v>
      </c>
      <c r="G11" s="300">
        <v>15775.23372</v>
      </c>
      <c r="H11" s="168">
        <f>IF(F11=0, "    ---- ", IF(ABS(ROUND(100/F11*G11-100,1))&lt;999,ROUND(100/F11*G11-100,1),IF(ROUND(100/F11*G11-100,1)&gt;999,999,-999)))</f>
        <v>36.799999999999997</v>
      </c>
      <c r="I11" s="157">
        <f>IFERROR(100/'Skjema total MA'!F11*G11,0)</f>
        <v>7.9643274432794966</v>
      </c>
      <c r="J11" s="297">
        <f t="shared" si="1"/>
        <v>11534.62168</v>
      </c>
      <c r="K11" s="298">
        <f t="shared" si="1"/>
        <v>15775.23372</v>
      </c>
      <c r="L11" s="411">
        <f>IF(J11=0, "    ---- ", IF(ABS(ROUND(100/J11*K11-100,1))&lt;999,ROUND(100/J11*K11-100,1),IF(ROUND(100/J11*K11-100,1)&gt;999,999,-999)))</f>
        <v>36.799999999999997</v>
      </c>
      <c r="M11" s="11">
        <f>IFERROR(100/'Skjema total MA'!I11*K11,0)</f>
        <v>5.5640315160844214</v>
      </c>
      <c r="N11" s="140"/>
      <c r="O11" s="145"/>
    </row>
    <row r="12" spans="1:15" s="41" customFormat="1" ht="15.75" x14ac:dyDescent="0.2">
      <c r="A12" s="39" t="s">
        <v>400</v>
      </c>
      <c r="B12" s="301"/>
      <c r="C12" s="302"/>
      <c r="D12" s="166"/>
      <c r="E12" s="34"/>
      <c r="F12" s="301">
        <v>2458.0985300000002</v>
      </c>
      <c r="G12" s="302">
        <v>3697.1972500000002</v>
      </c>
      <c r="H12" s="166">
        <f>IF(F12=0, "    ---- ", IF(ABS(ROUND(100/F12*G12-100,1))&lt;999,ROUND(100/F12*G12-100,1),IF(ROUND(100/F12*G12-100,1)&gt;999,999,-999)))</f>
        <v>50.4</v>
      </c>
      <c r="I12" s="166">
        <f>IFERROR(100/'Skjema total MA'!F12*G12,0)</f>
        <v>3.723240039612024</v>
      </c>
      <c r="J12" s="303">
        <f t="shared" si="1"/>
        <v>2458.0985300000002</v>
      </c>
      <c r="K12" s="304">
        <f t="shared" si="1"/>
        <v>3697.1972500000002</v>
      </c>
      <c r="L12" s="412">
        <f>IF(J12=0, "    ---- ", IF(ABS(ROUND(100/J12*K12-100,1))&lt;999,ROUND(100/J12*K12-100,1),IF(ROUND(100/J12*K12-100,1)&gt;999,999,-999)))</f>
        <v>50.4</v>
      </c>
      <c r="M12" s="34">
        <f>IFERROR(100/'Skjema total MA'!I12*K12,0)</f>
        <v>2.9136673872179428</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330679.66132999997</v>
      </c>
      <c r="C22" s="306">
        <v>381061.91279999999</v>
      </c>
      <c r="D22" s="336">
        <f t="shared" ref="D22:D33" si="2">IF(B22=0, "    ---- ", IF(ABS(ROUND(100/B22*C22-100,1))&lt;999,ROUND(100/B22*C22-100,1),IF(ROUND(100/B22*C22-100,1)&gt;999,999,-999)))</f>
        <v>15.2</v>
      </c>
      <c r="E22" s="11">
        <f>IFERROR(100/'Skjema total MA'!C22*C22,0)</f>
        <v>29.844473616982761</v>
      </c>
      <c r="F22" s="307">
        <v>17629.486229999999</v>
      </c>
      <c r="G22" s="306">
        <v>25568.907759999998</v>
      </c>
      <c r="H22" s="336">
        <f>IF(F22=0, "    ---- ", IF(ABS(ROUND(100/F22*G22-100,1))&lt;999,ROUND(100/F22*G22-100,1),IF(ROUND(100/F22*G22-100,1)&gt;999,999,-999)))</f>
        <v>45</v>
      </c>
      <c r="I22" s="11">
        <f>IFERROR(100/'Skjema total MA'!F22*G22,0)</f>
        <v>9.206130360840028</v>
      </c>
      <c r="J22" s="305">
        <f>SUM(B22,F22)</f>
        <v>348309.14755999995</v>
      </c>
      <c r="K22" s="305">
        <f>SUM(C22,G22)</f>
        <v>406630.82055999996</v>
      </c>
      <c r="L22" s="410">
        <f>IF(J22=0, "    ---- ", IF(ABS(ROUND(100/J22*K22-100,1))&lt;999,ROUND(100/J22*K22-100,1),IF(ROUND(100/J22*K22-100,1)&gt;999,999,-999)))</f>
        <v>16.7</v>
      </c>
      <c r="M22" s="22">
        <f>IFERROR(100/'Skjema total MA'!I22*K22,0)</f>
        <v>26.157233621890907</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326740</v>
      </c>
      <c r="C27" s="282">
        <v>366908</v>
      </c>
      <c r="D27" s="163">
        <f t="shared" si="2"/>
        <v>12.3</v>
      </c>
      <c r="E27" s="25">
        <f>IFERROR(100/'Skjema total MA'!C27*C27,0)</f>
        <v>28.538769715081649</v>
      </c>
      <c r="F27" s="232"/>
      <c r="G27" s="282"/>
      <c r="H27" s="163"/>
      <c r="I27" s="25"/>
      <c r="J27" s="42">
        <f>SUM(B27,F27)</f>
        <v>326740</v>
      </c>
      <c r="K27" s="42">
        <f>SUM(C27,G27)</f>
        <v>366908</v>
      </c>
      <c r="L27" s="253">
        <f>IF(J27=0, "    ---- ", IF(ABS(ROUND(100/J27*K27-100,1))&lt;999,ROUND(100/J27*K27-100,1),IF(ROUND(100/J27*K27-100,1)&gt;999,999,-999)))</f>
        <v>12.3</v>
      </c>
      <c r="M27" s="21">
        <f>IFERROR(100/'Skjema total MA'!I27*K27,0)</f>
        <v>28.538769715081649</v>
      </c>
      <c r="O27" s="145"/>
    </row>
    <row r="28" spans="1:15" s="3" customFormat="1" ht="15.75" x14ac:dyDescent="0.2">
      <c r="A28" s="13" t="s">
        <v>398</v>
      </c>
      <c r="B28" s="234">
        <v>4882404.0019199997</v>
      </c>
      <c r="C28" s="298">
        <v>5027847.1652899999</v>
      </c>
      <c r="D28" s="168">
        <f t="shared" si="2"/>
        <v>3</v>
      </c>
      <c r="E28" s="11">
        <f>IFERROR(100/'Skjema total MA'!C28*C28,0)</f>
        <v>9.8378247991816412</v>
      </c>
      <c r="F28" s="297">
        <v>1884326.6891999999</v>
      </c>
      <c r="G28" s="298">
        <v>2011235.7385</v>
      </c>
      <c r="H28" s="168">
        <f>IF(F28=0, "    ---- ", IF(ABS(ROUND(100/F28*G28-100,1))&lt;999,ROUND(100/F28*G28-100,1),IF(ROUND(100/F28*G28-100,1)&gt;999,999,-999)))</f>
        <v>6.7</v>
      </c>
      <c r="I28" s="11">
        <f>IFERROR(100/'Skjema total MA'!F28*G28,0)</f>
        <v>10.294066680247541</v>
      </c>
      <c r="J28" s="234">
        <f>SUM(B28,F28)</f>
        <v>6766730.6911199996</v>
      </c>
      <c r="K28" s="234">
        <f>SUM(C28,G28)</f>
        <v>7039082.9037899999</v>
      </c>
      <c r="L28" s="411">
        <f>IF(J28=0, "    ---- ", IF(ABS(ROUND(100/J28*K28-100,1))&lt;999,ROUND(100/J28*K28-100,1),IF(ROUND(100/J28*K28-100,1)&gt;999,999,-999)))</f>
        <v>4</v>
      </c>
      <c r="M28" s="22">
        <f>IFERROR(100/'Skjema total MA'!I28*K28,0)</f>
        <v>9.9640043502560491</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v>4620.7482300000001</v>
      </c>
      <c r="C32" s="298">
        <v>0</v>
      </c>
      <c r="D32" s="168">
        <f t="shared" si="2"/>
        <v>-100</v>
      </c>
      <c r="E32" s="11">
        <f>IFERROR(100/'Skjema total MA'!C32*C32,0)</f>
        <v>0</v>
      </c>
      <c r="F32" s="297">
        <v>7862.1632</v>
      </c>
      <c r="G32" s="298">
        <v>8210.1532200000001</v>
      </c>
      <c r="H32" s="168">
        <f>IF(F32=0, "    ---- ", IF(ABS(ROUND(100/F32*G32-100,1))&lt;999,ROUND(100/F32*G32-100,1),IF(ROUND(100/F32*G32-100,1)&gt;999,999,-999)))</f>
        <v>4.4000000000000004</v>
      </c>
      <c r="I32" s="11">
        <f>IFERROR(100/'Skjema total MA'!F32*G32,0)</f>
        <v>106.7650342928742</v>
      </c>
      <c r="J32" s="234">
        <f t="shared" ref="J32:K33" si="3">SUM(B32,F32)</f>
        <v>12482.91143</v>
      </c>
      <c r="K32" s="234">
        <f t="shared" si="3"/>
        <v>8210.1532200000001</v>
      </c>
      <c r="L32" s="411">
        <f>IF(J32=0, "    ---- ", IF(ABS(ROUND(100/J32*K32-100,1))&lt;999,ROUND(100/J32*K32-100,1),IF(ROUND(100/J32*K32-100,1)&gt;999,999,-999)))</f>
        <v>-34.200000000000003</v>
      </c>
      <c r="M32" s="22">
        <f>IFERROR(100/'Skjema total MA'!I32*K32,0)</f>
        <v>19.257646427632661</v>
      </c>
      <c r="O32" s="145"/>
    </row>
    <row r="33" spans="1:15" ht="15.75" x14ac:dyDescent="0.2">
      <c r="A33" s="13" t="s">
        <v>400</v>
      </c>
      <c r="B33" s="234">
        <v>890.09646999999995</v>
      </c>
      <c r="C33" s="298">
        <v>321.55135999999999</v>
      </c>
      <c r="D33" s="168">
        <f t="shared" si="2"/>
        <v>-63.9</v>
      </c>
      <c r="E33" s="11">
        <f>IFERROR(100/'Skjema total MA'!C33*C33,0)</f>
        <v>-0.56073975484792493</v>
      </c>
      <c r="F33" s="297">
        <v>2774.3128200000001</v>
      </c>
      <c r="G33" s="298">
        <v>4081.0320700000002</v>
      </c>
      <c r="H33" s="168">
        <f>IF(F33=0, "    ---- ", IF(ABS(ROUND(100/F33*G33-100,1))&lt;999,ROUND(100/F33*G33-100,1),IF(ROUND(100/F33*G33-100,1)&gt;999,999,-999)))</f>
        <v>47.1</v>
      </c>
      <c r="I33" s="11">
        <f>IFERROR(100/'Skjema total MA'!F33*G33,0)</f>
        <v>4.9763312880746859</v>
      </c>
      <c r="J33" s="234">
        <f t="shared" si="3"/>
        <v>3664.4092900000001</v>
      </c>
      <c r="K33" s="234">
        <f t="shared" si="3"/>
        <v>4402.5834300000006</v>
      </c>
      <c r="L33" s="411">
        <f>IF(J33=0, "    ---- ", IF(ABS(ROUND(100/J33*K33-100,1))&lt;999,ROUND(100/J33*K33-100,1),IF(ROUND(100/J33*K33-100,1)&gt;999,999,-999)))</f>
        <v>20.100000000000001</v>
      </c>
      <c r="M33" s="22">
        <f>IFERROR(100/'Skjema total MA'!I33*K33,0)</f>
        <v>17.84972311821349</v>
      </c>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588112.00662</v>
      </c>
      <c r="C45" s="300">
        <v>576970.61095</v>
      </c>
      <c r="D45" s="410">
        <f t="shared" ref="D45:D55" si="4">IF(B45=0, "    ---- ", IF(ABS(ROUND(100/B45*C45-100,1))&lt;999,ROUND(100/B45*C45-100,1),IF(ROUND(100/B45*C45-100,1)&gt;999,999,-999)))</f>
        <v>-1.9</v>
      </c>
      <c r="E45" s="11">
        <f>IFERROR(100/'Skjema total MA'!C45*C45,0)</f>
        <v>17.283429324223448</v>
      </c>
      <c r="F45" s="142"/>
      <c r="G45" s="31"/>
      <c r="H45" s="156"/>
      <c r="I45" s="156"/>
      <c r="J45" s="35"/>
      <c r="K45" s="35"/>
      <c r="L45" s="156"/>
      <c r="M45" s="156"/>
      <c r="N45" s="145"/>
      <c r="O45" s="145"/>
    </row>
    <row r="46" spans="1:15" s="3" customFormat="1" ht="15.75" x14ac:dyDescent="0.2">
      <c r="A46" s="36" t="s">
        <v>407</v>
      </c>
      <c r="B46" s="278">
        <v>89329.098280000006</v>
      </c>
      <c r="C46" s="279">
        <v>85538.828020000001</v>
      </c>
      <c r="D46" s="253">
        <f t="shared" si="4"/>
        <v>-4.2</v>
      </c>
      <c r="E46" s="25">
        <f>IFERROR(100/'Skjema total MA'!C46*C46,0)</f>
        <v>4.6997120571315696</v>
      </c>
      <c r="F46" s="142"/>
      <c r="G46" s="31"/>
      <c r="H46" s="142"/>
      <c r="I46" s="142"/>
      <c r="J46" s="31"/>
      <c r="K46" s="31"/>
      <c r="L46" s="156"/>
      <c r="M46" s="156"/>
      <c r="N46" s="145"/>
      <c r="O46" s="145"/>
    </row>
    <row r="47" spans="1:15" s="3" customFormat="1" ht="15.75" x14ac:dyDescent="0.2">
      <c r="A47" s="36" t="s">
        <v>408</v>
      </c>
      <c r="B47" s="42">
        <v>498782.90834000002</v>
      </c>
      <c r="C47" s="282">
        <v>491431.78292999999</v>
      </c>
      <c r="D47" s="253">
        <f>IF(B47=0, "    ---- ", IF(ABS(ROUND(100/B47*C47-100,1))&lt;999,ROUND(100/B47*C47-100,1),IF(ROUND(100/B47*C47-100,1)&gt;999,999,-999)))</f>
        <v>-1.5</v>
      </c>
      <c r="E47" s="25">
        <f>IFERROR(100/'Skjema total MA'!C47*C47,0)</f>
        <v>32.3693444908183</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6319</v>
      </c>
      <c r="C51" s="300">
        <v>0</v>
      </c>
      <c r="D51" s="411">
        <f t="shared" si="4"/>
        <v>-100</v>
      </c>
      <c r="E51" s="11">
        <f>IFERROR(100/'Skjema total MA'!C51*C51,0)</f>
        <v>0</v>
      </c>
      <c r="F51" s="142"/>
      <c r="G51" s="31"/>
      <c r="H51" s="142"/>
      <c r="I51" s="142"/>
      <c r="J51" s="31"/>
      <c r="K51" s="31"/>
      <c r="L51" s="156"/>
      <c r="M51" s="156"/>
      <c r="N51" s="145"/>
      <c r="O51" s="145"/>
    </row>
    <row r="52" spans="1:15" s="3" customFormat="1" ht="15.75" x14ac:dyDescent="0.2">
      <c r="A52" s="36" t="s">
        <v>407</v>
      </c>
      <c r="B52" s="278">
        <v>2614</v>
      </c>
      <c r="C52" s="279">
        <v>0</v>
      </c>
      <c r="D52" s="253">
        <f t="shared" si="4"/>
        <v>-100</v>
      </c>
      <c r="E52" s="25">
        <f>IFERROR(100/'Skjema total MA'!C52*C52,0)</f>
        <v>0</v>
      </c>
      <c r="F52" s="142"/>
      <c r="G52" s="31"/>
      <c r="H52" s="142"/>
      <c r="I52" s="142"/>
      <c r="J52" s="31"/>
      <c r="K52" s="31"/>
      <c r="L52" s="156"/>
      <c r="M52" s="156"/>
      <c r="N52" s="145"/>
      <c r="O52" s="145"/>
    </row>
    <row r="53" spans="1:15" s="3" customFormat="1" ht="15.75" x14ac:dyDescent="0.2">
      <c r="A53" s="36" t="s">
        <v>408</v>
      </c>
      <c r="B53" s="278">
        <v>3705</v>
      </c>
      <c r="C53" s="279">
        <v>0</v>
      </c>
      <c r="D53" s="253">
        <f t="shared" si="4"/>
        <v>-100</v>
      </c>
      <c r="E53" s="25">
        <f>IFERROR(100/'Skjema total MA'!C53*C53,0)</f>
        <v>0</v>
      </c>
      <c r="F53" s="142"/>
      <c r="G53" s="31"/>
      <c r="H53" s="142"/>
      <c r="I53" s="142"/>
      <c r="J53" s="31"/>
      <c r="K53" s="31"/>
      <c r="L53" s="156"/>
      <c r="M53" s="156"/>
      <c r="N53" s="145"/>
      <c r="O53" s="145"/>
    </row>
    <row r="54" spans="1:15" s="3" customFormat="1" ht="15.75" x14ac:dyDescent="0.2">
      <c r="A54" s="37" t="s">
        <v>410</v>
      </c>
      <c r="B54" s="299">
        <v>2698</v>
      </c>
      <c r="C54" s="300">
        <v>0</v>
      </c>
      <c r="D54" s="411">
        <f t="shared" si="4"/>
        <v>-100</v>
      </c>
      <c r="E54" s="11">
        <f>IFERROR(100/'Skjema total MA'!C54*C54,0)</f>
        <v>0</v>
      </c>
      <c r="F54" s="142"/>
      <c r="G54" s="31"/>
      <c r="H54" s="142"/>
      <c r="I54" s="142"/>
      <c r="J54" s="31"/>
      <c r="K54" s="31"/>
      <c r="L54" s="156"/>
      <c r="M54" s="156"/>
      <c r="N54" s="145"/>
      <c r="O54" s="145"/>
    </row>
    <row r="55" spans="1:15" s="3" customFormat="1" ht="15.75" x14ac:dyDescent="0.2">
      <c r="A55" s="36" t="s">
        <v>407</v>
      </c>
      <c r="B55" s="278">
        <v>2698</v>
      </c>
      <c r="C55" s="279">
        <v>0</v>
      </c>
      <c r="D55" s="253">
        <f t="shared" si="4"/>
        <v>-100</v>
      </c>
      <c r="E55" s="25">
        <f>IFERROR(100/'Skjema total MA'!C55*C55,0)</f>
        <v>0</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453485.67544999998</v>
      </c>
      <c r="C64" s="338">
        <v>493342.98557000002</v>
      </c>
      <c r="D64" s="336">
        <f>IF(B64=0, "    ---- ", IF(ABS(ROUND(100/B64*C64-100,1))&lt;999,ROUND(100/B64*C64-100,1),IF(ROUND(100/B64*C64-100,1)&gt;999,999,-999)))</f>
        <v>8.8000000000000007</v>
      </c>
      <c r="E64" s="11">
        <f>IFERROR(100/'Skjema total MA'!C64*C64,0)</f>
        <v>7.2682612325389879</v>
      </c>
      <c r="F64" s="337">
        <v>1404865.85458</v>
      </c>
      <c r="G64" s="337">
        <v>1928148.3848100002</v>
      </c>
      <c r="H64" s="336">
        <f>IF(F64=0, "    ---- ", IF(ABS(ROUND(100/F64*G64-100,1))&lt;999,ROUND(100/F64*G64-100,1),IF(ROUND(100/F64*G64-100,1)&gt;999,999,-999)))</f>
        <v>37.200000000000003</v>
      </c>
      <c r="I64" s="11">
        <f>IFERROR(100/'Skjema total MA'!F64*G64,0)</f>
        <v>9.7950810658065759</v>
      </c>
      <c r="J64" s="298">
        <f t="shared" ref="J64:K66" si="5">SUM(B64,F64)</f>
        <v>1858351.53003</v>
      </c>
      <c r="K64" s="305">
        <f t="shared" si="5"/>
        <v>2421491.3703800002</v>
      </c>
      <c r="L64" s="411">
        <f>IF(J64=0, "    ---- ", IF(ABS(ROUND(100/J64*K64-100,1))&lt;999,ROUND(100/J64*K64-100,1),IF(ROUND(100/J64*K64-100,1)&gt;999,999,-999)))</f>
        <v>30.3</v>
      </c>
      <c r="M64" s="11">
        <f>IFERROR(100/'Skjema total MA'!I64*K64,0)</f>
        <v>9.1471962832843072</v>
      </c>
      <c r="O64" s="145"/>
    </row>
    <row r="65" spans="1:15" x14ac:dyDescent="0.2">
      <c r="A65" s="402" t="s">
        <v>9</v>
      </c>
      <c r="B65" s="42">
        <v>272944.99580999999</v>
      </c>
      <c r="C65" s="142">
        <v>300760.50569999998</v>
      </c>
      <c r="D65" s="163">
        <f>IF(B65=0, "    ---- ", IF(ABS(ROUND(100/B65*C65-100,1))&lt;999,ROUND(100/B65*C65-100,1),IF(ROUND(100/B65*C65-100,1)&gt;999,999,-999)))</f>
        <v>10.199999999999999</v>
      </c>
      <c r="E65" s="25">
        <f>IFERROR(100/'Skjema total MA'!C65*C65,0)</f>
        <v>4.6605660968441471</v>
      </c>
      <c r="F65" s="232"/>
      <c r="G65" s="142"/>
      <c r="H65" s="163"/>
      <c r="I65" s="25"/>
      <c r="J65" s="282">
        <f t="shared" si="5"/>
        <v>272944.99580999999</v>
      </c>
      <c r="K65" s="42">
        <f t="shared" si="5"/>
        <v>300760.50569999998</v>
      </c>
      <c r="L65" s="253">
        <f>IF(J65=0, "    ---- ", IF(ABS(ROUND(100/J65*K65-100,1))&lt;999,ROUND(100/J65*K65-100,1),IF(ROUND(100/J65*K65-100,1)&gt;999,999,-999)))</f>
        <v>10.199999999999999</v>
      </c>
      <c r="M65" s="25">
        <f>IFERROR(100/'Skjema total MA'!I65*K65,0)</f>
        <v>4.6605660968441471</v>
      </c>
      <c r="O65" s="145"/>
    </row>
    <row r="66" spans="1:15" x14ac:dyDescent="0.2">
      <c r="A66" s="19" t="s">
        <v>10</v>
      </c>
      <c r="B66" s="284">
        <v>45525.92224</v>
      </c>
      <c r="C66" s="285">
        <v>43354.464480000002</v>
      </c>
      <c r="D66" s="163">
        <f>IF(B66=0, "    ---- ", IF(ABS(ROUND(100/B66*C66-100,1))&lt;999,ROUND(100/B66*C66-100,1),IF(ROUND(100/B66*C66-100,1)&gt;999,999,-999)))</f>
        <v>-4.8</v>
      </c>
      <c r="E66" s="25">
        <f>IFERROR(100/'Skjema total MA'!C66*C66,0)</f>
        <v>31.427559626872817</v>
      </c>
      <c r="F66" s="284">
        <v>1310673.4903299999</v>
      </c>
      <c r="G66" s="285">
        <v>1794870.5481400001</v>
      </c>
      <c r="H66" s="163">
        <f>IF(F66=0, "    ---- ", IF(ABS(ROUND(100/F66*G66-100,1))&lt;999,ROUND(100/F66*G66-100,1),IF(ROUND(100/F66*G66-100,1)&gt;999,999,-999)))</f>
        <v>36.9</v>
      </c>
      <c r="I66" s="25">
        <f>IFERROR(100/'Skjema total MA'!F66*G66,0)</f>
        <v>9.2223235145893732</v>
      </c>
      <c r="J66" s="282">
        <f t="shared" si="5"/>
        <v>1356199.4125699999</v>
      </c>
      <c r="K66" s="42">
        <f t="shared" si="5"/>
        <v>1838225.0126200002</v>
      </c>
      <c r="L66" s="253">
        <f>IF(J66=0, "    ---- ", IF(ABS(ROUND(100/J66*K66-100,1))&lt;999,ROUND(100/J66*K66-100,1),IF(ROUND(100/J66*K66-100,1)&gt;999,999,-999)))</f>
        <v>35.5</v>
      </c>
      <c r="M66" s="25">
        <f>IFERROR(100/'Skjema total MA'!I66*K66,0)</f>
        <v>9.3786088812780406</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v>135014.7574</v>
      </c>
      <c r="C73" s="142">
        <v>149228.01538999999</v>
      </c>
      <c r="D73" s="163">
        <f>IF(B73=0, "    ---- ", IF(ABS(ROUND(100/B73*C73-100,1))&lt;999,ROUND(100/B73*C73-100,1),IF(ROUND(100/B73*C73-100,1)&gt;999,999,-999)))</f>
        <v>10.5</v>
      </c>
      <c r="E73" s="25">
        <f>IFERROR(100/'Skjema total MA'!C73*C73,0)</f>
        <v>75.989577334849841</v>
      </c>
      <c r="F73" s="232">
        <v>94192.364249999999</v>
      </c>
      <c r="G73" s="142">
        <v>133277.83666999999</v>
      </c>
      <c r="H73" s="163">
        <f>IF(F73=0, "    ---- ", IF(ABS(ROUND(100/F73*G73-100,1))&lt;999,ROUND(100/F73*G73-100,1),IF(ROUND(100/F73*G73-100,1)&gt;999,999,-999)))</f>
        <v>41.5</v>
      </c>
      <c r="I73" s="25">
        <f>IFERROR(100/'Skjema total MA'!F73*G73,0)</f>
        <v>59.866244236661366</v>
      </c>
      <c r="J73" s="282">
        <f t="shared" ref="J73:K77" si="6">SUM(B73,F73)</f>
        <v>229207.12164999999</v>
      </c>
      <c r="K73" s="42">
        <f t="shared" si="6"/>
        <v>282505.85205999995</v>
      </c>
      <c r="L73" s="253">
        <f>IF(J73=0, "    ---- ", IF(ABS(ROUND(100/J73*K73-100,1))&lt;999,ROUND(100/J73*K73-100,1),IF(ROUND(100/J73*K73-100,1)&gt;999,999,-999)))</f>
        <v>23.3</v>
      </c>
      <c r="M73" s="25">
        <f>IFERROR(100/'Skjema total MA'!I73*K73,0)</f>
        <v>67.422929430264972</v>
      </c>
      <c r="N73" s="145"/>
      <c r="O73" s="145"/>
    </row>
    <row r="74" spans="1:15" s="3" customFormat="1" x14ac:dyDescent="0.2">
      <c r="A74" s="19" t="s">
        <v>369</v>
      </c>
      <c r="B74" s="232">
        <v>0</v>
      </c>
      <c r="C74" s="142">
        <v>106227.45452</v>
      </c>
      <c r="D74" s="163" t="str">
        <f>IF(B74=0, "    ---- ", IF(ABS(ROUND(100/B74*C74-100,1))&lt;999,ROUND(100/B74*C74-100,1),IF(ROUND(100/B74*C74-100,1)&gt;999,999,-999)))</f>
        <v xml:space="preserve">    ---- </v>
      </c>
      <c r="E74" s="25">
        <f>IFERROR(100/'Skjema total MA'!C75*C74,0)</f>
        <v>1.6630831092373741</v>
      </c>
      <c r="F74" s="232"/>
      <c r="G74" s="142"/>
      <c r="H74" s="163"/>
      <c r="I74" s="25"/>
      <c r="J74" s="282">
        <f t="shared" si="6"/>
        <v>0</v>
      </c>
      <c r="K74" s="42">
        <f t="shared" si="6"/>
        <v>106227.45452</v>
      </c>
      <c r="L74" s="253" t="str">
        <f>IF(J74=0, "    ---- ", IF(ABS(ROUND(100/J74*K74-100,1))&lt;999,ROUND(100/J74*K74-100,1),IF(ROUND(100/J74*K74-100,1)&gt;999,999,-999)))</f>
        <v xml:space="preserve">    ---- </v>
      </c>
      <c r="M74" s="25">
        <f>IFERROR(100/'Skjema total MA'!I75*K74,0)</f>
        <v>0.41109847380350195</v>
      </c>
      <c r="N74" s="145"/>
      <c r="O74" s="145"/>
    </row>
    <row r="75" spans="1:15" ht="15.75" x14ac:dyDescent="0.2">
      <c r="A75" s="19" t="s">
        <v>413</v>
      </c>
      <c r="B75" s="232">
        <v>318470.91804999998</v>
      </c>
      <c r="C75" s="232">
        <v>344114.97018</v>
      </c>
      <c r="D75" s="163">
        <f>IF(B75=0, "    ---- ", IF(ABS(ROUND(100/B75*C75-100,1))&lt;999,ROUND(100/B75*C75-100,1),IF(ROUND(100/B75*C75-100,1)&gt;999,999,-999)))</f>
        <v>8.1</v>
      </c>
      <c r="E75" s="25">
        <f>IFERROR(100/'Skjema total MA'!C75*C75,0)</f>
        <v>5.3874188845815967</v>
      </c>
      <c r="F75" s="232">
        <v>1302980.6842799999</v>
      </c>
      <c r="G75" s="142">
        <v>1788316.86583</v>
      </c>
      <c r="H75" s="163">
        <f>IF(F75=0, "    ---- ", IF(ABS(ROUND(100/F75*G75-100,1))&lt;999,ROUND(100/F75*G75-100,1),IF(ROUND(100/F75*G75-100,1)&gt;999,999,-999)))</f>
        <v>37.200000000000003</v>
      </c>
      <c r="I75" s="25">
        <f>IFERROR(100/'Skjema total MA'!F75*G75,0)</f>
        <v>9.1932382576182139</v>
      </c>
      <c r="J75" s="282">
        <f t="shared" si="6"/>
        <v>1621451.6023299999</v>
      </c>
      <c r="K75" s="42">
        <f t="shared" si="6"/>
        <v>2132431.8360100002</v>
      </c>
      <c r="L75" s="253">
        <f>IF(J75=0, "    ---- ", IF(ABS(ROUND(100/J75*K75-100,1))&lt;999,ROUND(100/J75*K75-100,1),IF(ROUND(100/J75*K75-100,1)&gt;999,999,-999)))</f>
        <v>31.5</v>
      </c>
      <c r="M75" s="25">
        <f>IFERROR(100/'Skjema total MA'!I75*K75,0)</f>
        <v>8.252475569850553</v>
      </c>
      <c r="O75" s="145"/>
    </row>
    <row r="76" spans="1:15" x14ac:dyDescent="0.2">
      <c r="A76" s="19" t="s">
        <v>9</v>
      </c>
      <c r="B76" s="232">
        <v>272944.99580999999</v>
      </c>
      <c r="C76" s="142">
        <v>300760.50569999998</v>
      </c>
      <c r="D76" s="163">
        <f>IF(B76=0, "    ---- ", IF(ABS(ROUND(100/B76*C76-100,1))&lt;999,ROUND(100/B76*C76-100,1),IF(ROUND(100/B76*C76-100,1)&gt;999,999,-999)))</f>
        <v>10.199999999999999</v>
      </c>
      <c r="E76" s="25">
        <f>IFERROR(100/'Skjema total MA'!C76*C76,0)</f>
        <v>4.8102066469350477</v>
      </c>
      <c r="F76" s="232"/>
      <c r="G76" s="142"/>
      <c r="H76" s="163"/>
      <c r="I76" s="25"/>
      <c r="J76" s="282">
        <f t="shared" si="6"/>
        <v>272944.99580999999</v>
      </c>
      <c r="K76" s="42">
        <f t="shared" si="6"/>
        <v>300760.50569999998</v>
      </c>
      <c r="L76" s="253">
        <f>IF(J76=0, "    ---- ", IF(ABS(ROUND(100/J76*K76-100,1))&lt;999,ROUND(100/J76*K76-100,1),IF(ROUND(100/J76*K76-100,1)&gt;999,999,-999)))</f>
        <v>10.199999999999999</v>
      </c>
      <c r="M76" s="25">
        <f>IFERROR(100/'Skjema total MA'!I76*K76,0)</f>
        <v>4.8102066469350477</v>
      </c>
      <c r="O76" s="145"/>
    </row>
    <row r="77" spans="1:15" x14ac:dyDescent="0.2">
      <c r="A77" s="19" t="s">
        <v>10</v>
      </c>
      <c r="B77" s="284">
        <v>45525.92224</v>
      </c>
      <c r="C77" s="285">
        <v>43354.464480000002</v>
      </c>
      <c r="D77" s="163">
        <f>IF(B77=0, "    ---- ", IF(ABS(ROUND(100/B77*C77-100,1))&lt;999,ROUND(100/B77*C77-100,1),IF(ROUND(100/B77*C77-100,1)&gt;999,999,-999)))</f>
        <v>-4.8</v>
      </c>
      <c r="E77" s="25">
        <f>IFERROR(100/'Skjema total MA'!C77*C77,0)</f>
        <v>32.154324155265499</v>
      </c>
      <c r="F77" s="284">
        <v>1302980.6842799999</v>
      </c>
      <c r="G77" s="285">
        <v>1788316.86583</v>
      </c>
      <c r="H77" s="163">
        <f>IF(F77=0, "    ---- ", IF(ABS(ROUND(100/F77*G77-100,1))&lt;999,ROUND(100/F77*G77-100,1),IF(ROUND(100/F77*G77-100,1)&gt;999,999,-999)))</f>
        <v>37.200000000000003</v>
      </c>
      <c r="I77" s="25">
        <f>IFERROR(100/'Skjema total MA'!F77*G77,0)</f>
        <v>9.1932382576182139</v>
      </c>
      <c r="J77" s="282">
        <f t="shared" si="6"/>
        <v>1348506.6065199999</v>
      </c>
      <c r="K77" s="42">
        <f t="shared" si="6"/>
        <v>1831671.3303100001</v>
      </c>
      <c r="L77" s="253">
        <f>IF(J77=0, "    ---- ", IF(ABS(ROUND(100/J77*K77-100,1))&lt;999,ROUND(100/J77*K77-100,1),IF(ROUND(100/J77*K77-100,1)&gt;999,999,-999)))</f>
        <v>35.799999999999997</v>
      </c>
      <c r="M77" s="25">
        <f>IFERROR(100/'Skjema total MA'!I77*K77,0)</f>
        <v>9.3512942769683072</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v>7692.8060500000001</v>
      </c>
      <c r="G84" s="142">
        <v>6553.6823100000001</v>
      </c>
      <c r="H84" s="163">
        <f>IF(F84=0, "    ---- ", IF(ABS(ROUND(100/F84*G84-100,1))&lt;999,ROUND(100/F84*G84-100,1),IF(ROUND(100/F84*G84-100,1)&gt;999,999,-999)))</f>
        <v>-14.8</v>
      </c>
      <c r="I84" s="25">
        <f>IFERROR(100/'Skjema total MA'!F84*G84,0)</f>
        <v>67.465664352399514</v>
      </c>
      <c r="J84" s="282">
        <f t="shared" ref="J84:K87" si="7">SUM(B84,F84)</f>
        <v>7692.8060500000001</v>
      </c>
      <c r="K84" s="42">
        <f t="shared" si="7"/>
        <v>6553.6823100000001</v>
      </c>
      <c r="L84" s="253">
        <f>IF(J84=0, "    ---- ", IF(ABS(ROUND(100/J84*K84-100,1))&lt;999,ROUND(100/J84*K84-100,1),IF(ROUND(100/J84*K84-100,1)&gt;999,999,-999)))</f>
        <v>-14.8</v>
      </c>
      <c r="M84" s="25">
        <f>IFERROR(100/'Skjema total MA'!I84*K84,0)</f>
        <v>3.0683796842049875</v>
      </c>
      <c r="O84" s="145"/>
    </row>
    <row r="85" spans="1:15" ht="15.75" x14ac:dyDescent="0.2">
      <c r="A85" s="13" t="s">
        <v>398</v>
      </c>
      <c r="B85" s="338">
        <v>11133920.079329999</v>
      </c>
      <c r="C85" s="338">
        <v>12010056.999299999</v>
      </c>
      <c r="D85" s="168">
        <f>IF(B85=0, "    ---- ", IF(ABS(ROUND(100/B85*C85-100,1))&lt;999,ROUND(100/B85*C85-100,1),IF(ROUND(100/B85*C85-100,1)&gt;999,999,-999)))</f>
        <v>7.9</v>
      </c>
      <c r="E85" s="11">
        <f>IFERROR(100/'Skjema total MA'!C85*C85,0)</f>
        <v>3.1969598012916034</v>
      </c>
      <c r="F85" s="337">
        <v>14571272.145610001</v>
      </c>
      <c r="G85" s="337">
        <v>19433657.940329999</v>
      </c>
      <c r="H85" s="168">
        <f>IF(F85=0, "    ---- ", IF(ABS(ROUND(100/F85*G85-100,1))&lt;999,ROUND(100/F85*G85-100,1),IF(ROUND(100/F85*G85-100,1)&gt;999,999,-999)))</f>
        <v>33.4</v>
      </c>
      <c r="I85" s="11">
        <f>IFERROR(100/'Skjema total MA'!F85*G85,0)</f>
        <v>9.2308940510559498</v>
      </c>
      <c r="J85" s="298">
        <f t="shared" si="7"/>
        <v>25705192.224940002</v>
      </c>
      <c r="K85" s="234">
        <f t="shared" si="7"/>
        <v>31443714.939629998</v>
      </c>
      <c r="L85" s="411">
        <f>IF(J85=0, "    ---- ", IF(ABS(ROUND(100/J85*K85-100,1))&lt;999,ROUND(100/J85*K85-100,1),IF(ROUND(100/J85*K85-100,1)&gt;999,999,-999)))</f>
        <v>22.3</v>
      </c>
      <c r="M85" s="11">
        <f>IFERROR(100/'Skjema total MA'!I85*K85,0)</f>
        <v>5.3639942450075822</v>
      </c>
      <c r="O85" s="145"/>
    </row>
    <row r="86" spans="1:15" x14ac:dyDescent="0.2">
      <c r="A86" s="19" t="s">
        <v>9</v>
      </c>
      <c r="B86" s="232">
        <v>10259225</v>
      </c>
      <c r="C86" s="142">
        <v>10621445.02575</v>
      </c>
      <c r="D86" s="163">
        <f>IF(B86=0, "    ---- ", IF(ABS(ROUND(100/B86*C86-100,1))&lt;999,ROUND(100/B86*C86-100,1),IF(ROUND(100/B86*C86-100,1)&gt;999,999,-999)))</f>
        <v>3.5</v>
      </c>
      <c r="E86" s="25">
        <f>IFERROR(100/'Skjema total MA'!C86*C86,0)</f>
        <v>2.8487811715888767</v>
      </c>
      <c r="F86" s="232"/>
      <c r="G86" s="142"/>
      <c r="H86" s="163"/>
      <c r="I86" s="25"/>
      <c r="J86" s="282">
        <f t="shared" si="7"/>
        <v>10259225</v>
      </c>
      <c r="K86" s="42">
        <f t="shared" si="7"/>
        <v>10621445.02575</v>
      </c>
      <c r="L86" s="253">
        <f>IF(J86=0, "    ---- ", IF(ABS(ROUND(100/J86*K86-100,1))&lt;999,ROUND(100/J86*K86-100,1),IF(ROUND(100/J86*K86-100,1)&gt;999,999,-999)))</f>
        <v>3.5</v>
      </c>
      <c r="M86" s="25">
        <f>IFERROR(100/'Skjema total MA'!I86*K86,0)</f>
        <v>2.8487811715888767</v>
      </c>
      <c r="O86" s="145"/>
    </row>
    <row r="87" spans="1:15" x14ac:dyDescent="0.2">
      <c r="A87" s="19" t="s">
        <v>10</v>
      </c>
      <c r="B87" s="232">
        <v>812309.07932999998</v>
      </c>
      <c r="C87" s="142">
        <v>1109038.63674</v>
      </c>
      <c r="D87" s="163">
        <f>IF(B87=0, "    ---- ", IF(ABS(ROUND(100/B87*C87-100,1))&lt;999,ROUND(100/B87*C87-100,1),IF(ROUND(100/B87*C87-100,1)&gt;999,999,-999)))</f>
        <v>36.5</v>
      </c>
      <c r="E87" s="25">
        <f>IFERROR(100/'Skjema total MA'!C87*C87,0)</f>
        <v>44.325471281363725</v>
      </c>
      <c r="F87" s="232">
        <v>14474221.916130001</v>
      </c>
      <c r="G87" s="142">
        <v>19012350.595309999</v>
      </c>
      <c r="H87" s="163">
        <f>IF(F87=0, "    ---- ", IF(ABS(ROUND(100/F87*G87-100,1))&lt;999,ROUND(100/F87*G87-100,1),IF(ROUND(100/F87*G87-100,1)&gt;999,999,-999)))</f>
        <v>31.4</v>
      </c>
      <c r="I87" s="25">
        <f>IFERROR(100/'Skjema total MA'!F87*G87,0)</f>
        <v>9.057288949852742</v>
      </c>
      <c r="J87" s="282">
        <f t="shared" si="7"/>
        <v>15286530.99546</v>
      </c>
      <c r="K87" s="42">
        <f t="shared" si="7"/>
        <v>20121389.232049998</v>
      </c>
      <c r="L87" s="253">
        <f>IF(J87=0, "    ---- ", IF(ABS(ROUND(100/J87*K87-100,1))&lt;999,ROUND(100/J87*K87-100,1),IF(ROUND(100/J87*K87-100,1)&gt;999,999,-999)))</f>
        <v>31.6</v>
      </c>
      <c r="M87" s="25">
        <f>IFERROR(100/'Skjema total MA'!I87*K87,0)</f>
        <v>9.4727141740928023</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v>62386</v>
      </c>
      <c r="C94" s="142">
        <v>279573.33681000001</v>
      </c>
      <c r="D94" s="163">
        <f>IF(B94=0, "    ---- ", IF(ABS(ROUND(100/B94*C94-100,1))&lt;999,ROUND(100/B94*C94-100,1),IF(ROUND(100/B94*C94-100,1)&gt;999,999,-999)))</f>
        <v>348.1</v>
      </c>
      <c r="E94" s="25">
        <f>IFERROR(100/'Skjema total MA'!C94*C94,0)</f>
        <v>85.38498685551474</v>
      </c>
      <c r="F94" s="232">
        <v>97050.229479999995</v>
      </c>
      <c r="G94" s="142">
        <v>421307.34502000001</v>
      </c>
      <c r="H94" s="163">
        <f>IF(F94=0, "    ---- ", IF(ABS(ROUND(100/F94*G94-100,1))&lt;999,ROUND(100/F94*G94-100,1),IF(ROUND(100/F94*G94-100,1)&gt;999,999,-999)))</f>
        <v>334.1</v>
      </c>
      <c r="I94" s="25">
        <f>IFERROR(100/'Skjema total MA'!F94*G94,0)</f>
        <v>68.361799391243622</v>
      </c>
      <c r="J94" s="282">
        <f t="shared" ref="J94:K98" si="8">SUM(B94,F94)</f>
        <v>159436.22947999998</v>
      </c>
      <c r="K94" s="42">
        <f t="shared" si="8"/>
        <v>700880.68183000002</v>
      </c>
      <c r="L94" s="253">
        <f>IF(J94=0, "    ---- ", IF(ABS(ROUND(100/J94*K94-100,1))&lt;999,ROUND(100/J94*K94-100,1),IF(ROUND(100/J94*K94-100,1)&gt;999,999,-999)))</f>
        <v>339.6</v>
      </c>
      <c r="M94" s="25">
        <f>IFERROR(100/'Skjema total MA'!I94*K94,0)</f>
        <v>74.268067382189727</v>
      </c>
      <c r="O94" s="145"/>
    </row>
    <row r="95" spans="1:15" x14ac:dyDescent="0.2">
      <c r="A95" s="19" t="s">
        <v>369</v>
      </c>
      <c r="B95" s="232">
        <v>0</v>
      </c>
      <c r="C95" s="142">
        <v>220450.06658000001</v>
      </c>
      <c r="D95" s="163" t="str">
        <f>IF(B95=0, "    ---- ", IF(ABS(ROUND(100/B95*C95-100,1))&lt;999,ROUND(100/B95*C95-100,1),IF(ROUND(100/B95*C95-100,1)&gt;999,999,-999)))</f>
        <v xml:space="preserve">    ---- </v>
      </c>
      <c r="E95" s="25">
        <f>IFERROR(100/'Skjema total MA'!C96*C95,0)</f>
        <v>5.9507439961096767E-2</v>
      </c>
      <c r="F95" s="232"/>
      <c r="G95" s="142"/>
      <c r="H95" s="163"/>
      <c r="I95" s="25"/>
      <c r="J95" s="282">
        <f t="shared" si="8"/>
        <v>0</v>
      </c>
      <c r="K95" s="42">
        <f t="shared" si="8"/>
        <v>220450.06658000001</v>
      </c>
      <c r="L95" s="253" t="str">
        <f>IF(J95=0, "    ---- ", IF(ABS(ROUND(100/J95*K95-100,1))&lt;999,ROUND(100/J95*K95-100,1),IF(ROUND(100/J95*K95-100,1)&gt;999,999,-999)))</f>
        <v xml:space="preserve">    ---- </v>
      </c>
      <c r="M95" s="25">
        <f>IFERROR(100/'Skjema total MA'!I96*K95,0)</f>
        <v>3.8020392571245697E-2</v>
      </c>
      <c r="O95" s="145"/>
    </row>
    <row r="96" spans="1:15" ht="15.75" x14ac:dyDescent="0.2">
      <c r="A96" s="19" t="s">
        <v>413</v>
      </c>
      <c r="B96" s="232">
        <v>11071534.079329999</v>
      </c>
      <c r="C96" s="232">
        <v>11730483.662489999</v>
      </c>
      <c r="D96" s="163">
        <f>IF(B96=0, "    ---- ", IF(ABS(ROUND(100/B96*C96-100,1))&lt;999,ROUND(100/B96*C96-100,1),IF(ROUND(100/B96*C96-100,1)&gt;999,999,-999)))</f>
        <v>6</v>
      </c>
      <c r="E96" s="25">
        <f>IFERROR(100/'Skjema total MA'!C96*C96,0)</f>
        <v>3.1664814762345812</v>
      </c>
      <c r="F96" s="284">
        <v>14423144.227089999</v>
      </c>
      <c r="G96" s="284">
        <v>18960438.746300001</v>
      </c>
      <c r="H96" s="163">
        <f>IF(F96=0, "    ---- ", IF(ABS(ROUND(100/F96*G96-100,1))&lt;999,ROUND(100/F96*G96-100,1),IF(ROUND(100/F96*G96-100,1)&gt;999,999,-999)))</f>
        <v>31.5</v>
      </c>
      <c r="I96" s="25">
        <f>IFERROR(100/'Skjema total MA'!F96*G96,0)</f>
        <v>9.0562680958901325</v>
      </c>
      <c r="J96" s="282">
        <f t="shared" si="8"/>
        <v>25494678.306419998</v>
      </c>
      <c r="K96" s="42">
        <f t="shared" si="8"/>
        <v>30690922.40879</v>
      </c>
      <c r="L96" s="253">
        <f>IF(J96=0, "    ---- ", IF(ABS(ROUND(100/J96*K96-100,1))&lt;999,ROUND(100/J96*K96-100,1),IF(ROUND(100/J96*K96-100,1)&gt;999,999,-999)))</f>
        <v>20.399999999999999</v>
      </c>
      <c r="M96" s="25">
        <f>IFERROR(100/'Skjema total MA'!I96*K96,0)</f>
        <v>5.293175622300768</v>
      </c>
      <c r="O96" s="145"/>
    </row>
    <row r="97" spans="1:15" x14ac:dyDescent="0.2">
      <c r="A97" s="19" t="s">
        <v>9</v>
      </c>
      <c r="B97" s="284">
        <v>10259225</v>
      </c>
      <c r="C97" s="285">
        <v>10621445.02575</v>
      </c>
      <c r="D97" s="163">
        <f>IF(B97=0, "    ---- ", IF(ABS(ROUND(100/B97*C97-100,1))&lt;999,ROUND(100/B97*C97-100,1),IF(ROUND(100/B97*C97-100,1)&gt;999,999,-999)))</f>
        <v>3.5</v>
      </c>
      <c r="E97" s="25">
        <f>IFERROR(100/'Skjema total MA'!C97*C97,0)</f>
        <v>2.8866077152302876</v>
      </c>
      <c r="F97" s="232"/>
      <c r="G97" s="142"/>
      <c r="H97" s="163"/>
      <c r="I97" s="25"/>
      <c r="J97" s="282">
        <f t="shared" si="8"/>
        <v>10259225</v>
      </c>
      <c r="K97" s="42">
        <f t="shared" si="8"/>
        <v>10621445.02575</v>
      </c>
      <c r="L97" s="253">
        <f>IF(J97=0, "    ---- ", IF(ABS(ROUND(100/J97*K97-100,1))&lt;999,ROUND(100/J97*K97-100,1),IF(ROUND(100/J97*K97-100,1)&gt;999,999,-999)))</f>
        <v>3.5</v>
      </c>
      <c r="M97" s="25">
        <f>IFERROR(100/'Skjema total MA'!I97*K97,0)</f>
        <v>2.8866077152302876</v>
      </c>
      <c r="O97" s="145"/>
    </row>
    <row r="98" spans="1:15" x14ac:dyDescent="0.2">
      <c r="A98" s="19" t="s">
        <v>10</v>
      </c>
      <c r="B98" s="284">
        <v>812309.07932999998</v>
      </c>
      <c r="C98" s="285">
        <v>1109038.63674</v>
      </c>
      <c r="D98" s="163">
        <f>IF(B98=0, "    ---- ", IF(ABS(ROUND(100/B98*C98-100,1))&lt;999,ROUND(100/B98*C98-100,1),IF(ROUND(100/B98*C98-100,1)&gt;999,999,-999)))</f>
        <v>36.5</v>
      </c>
      <c r="E98" s="25">
        <f>IFERROR(100/'Skjema total MA'!C98*C98,0)</f>
        <v>44.325471281363725</v>
      </c>
      <c r="F98" s="232">
        <v>14423144.227089999</v>
      </c>
      <c r="G98" s="232">
        <v>18960438.746300001</v>
      </c>
      <c r="H98" s="163">
        <f>IF(F98=0, "    ---- ", IF(ABS(ROUND(100/F98*G98-100,1))&lt;999,ROUND(100/F98*G98-100,1),IF(ROUND(100/F98*G98-100,1)&gt;999,999,-999)))</f>
        <v>31.5</v>
      </c>
      <c r="I98" s="25">
        <f>IFERROR(100/'Skjema total MA'!F98*G98,0)</f>
        <v>9.0562680958901325</v>
      </c>
      <c r="J98" s="282">
        <f t="shared" si="8"/>
        <v>15235453.306419998</v>
      </c>
      <c r="K98" s="42">
        <f t="shared" si="8"/>
        <v>20069477.38304</v>
      </c>
      <c r="L98" s="253">
        <f>IF(J98=0, "    ---- ", IF(ABS(ROUND(100/J98*K98-100,1))&lt;999,ROUND(100/J98*K98-100,1),IF(ROUND(100/J98*K98-100,1)&gt;999,999,-999)))</f>
        <v>31.7</v>
      </c>
      <c r="M98" s="25">
        <f>IFERROR(100/'Skjema total MA'!I98*K98,0)</f>
        <v>9.4727829413392026</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v>51077.689039999997</v>
      </c>
      <c r="G105" s="142">
        <v>51911.8490100001</v>
      </c>
      <c r="H105" s="163">
        <f>IF(F105=0, "    ---- ", IF(ABS(ROUND(100/F105*G105-100,1))&lt;999,ROUND(100/F105*G105-100,1),IF(ROUND(100/F105*G105-100,1)&gt;999,999,-999)))</f>
        <v>1.6</v>
      </c>
      <c r="I105" s="25">
        <f>IFERROR(100/'Skjema total MA'!F105*G105,0)</f>
        <v>9.4462028827145659</v>
      </c>
      <c r="J105" s="282">
        <f t="shared" ref="J105:K109" si="9">SUM(B105,F105)</f>
        <v>51077.689039999997</v>
      </c>
      <c r="K105" s="42">
        <f t="shared" si="9"/>
        <v>51911.8490100001</v>
      </c>
      <c r="L105" s="253">
        <f>IF(J105=0, "    ---- ", IF(ABS(ROUND(100/J105*K105-100,1))&lt;999,ROUND(100/J105*K105-100,1),IF(ROUND(100/J105*K105-100,1)&gt;999,999,-999)))</f>
        <v>1.6</v>
      </c>
      <c r="M105" s="25">
        <f>IFERROR(100/'Skjema total MA'!I105*K105,0)</f>
        <v>0.95508236627191645</v>
      </c>
      <c r="O105" s="145"/>
    </row>
    <row r="106" spans="1:15" ht="15.75" x14ac:dyDescent="0.2">
      <c r="A106" s="19" t="s">
        <v>416</v>
      </c>
      <c r="B106" s="232">
        <v>5232398.6766100004</v>
      </c>
      <c r="C106" s="232">
        <v>7623161.8531900002</v>
      </c>
      <c r="D106" s="163">
        <f>IF(B106=0, "    ---- ", IF(ABS(ROUND(100/B106*C106-100,1))&lt;999,ROUND(100/B106*C106-100,1),IF(ROUND(100/B106*C106-100,1)&gt;999,999,-999)))</f>
        <v>45.7</v>
      </c>
      <c r="E106" s="25">
        <f>IFERROR(100/'Skjema total MA'!C106*C106,0)</f>
        <v>2.5606342520866163</v>
      </c>
      <c r="F106" s="232"/>
      <c r="G106" s="232"/>
      <c r="H106" s="163"/>
      <c r="I106" s="25"/>
      <c r="J106" s="282">
        <f t="shared" si="9"/>
        <v>5232398.6766100004</v>
      </c>
      <c r="K106" s="42">
        <f t="shared" si="9"/>
        <v>7623161.8531900002</v>
      </c>
      <c r="L106" s="253">
        <f>IF(J106=0, "    ---- ", IF(ABS(ROUND(100/J106*K106-100,1))&lt;999,ROUND(100/J106*K106-100,1),IF(ROUND(100/J106*K106-100,1)&gt;999,999,-999)))</f>
        <v>45.7</v>
      </c>
      <c r="M106" s="25">
        <f>IFERROR(100/'Skjema total MA'!I106*K106,0)</f>
        <v>2.5030807183576207</v>
      </c>
      <c r="O106" s="145"/>
    </row>
    <row r="107" spans="1:15" ht="15.75" x14ac:dyDescent="0.2">
      <c r="A107" s="19" t="s">
        <v>414</v>
      </c>
      <c r="B107" s="232">
        <v>269823.21629999997</v>
      </c>
      <c r="C107" s="232">
        <v>284980.94085999997</v>
      </c>
      <c r="D107" s="163">
        <f>IF(B107=0, "    ---- ", IF(ABS(ROUND(100/B107*C107-100,1))&lt;999,ROUND(100/B107*C107-100,1),IF(ROUND(100/B107*C107-100,1)&gt;999,999,-999)))</f>
        <v>5.6</v>
      </c>
      <c r="E107" s="25">
        <f>IFERROR(100/'Skjema total MA'!C107*C107,0)</f>
        <v>37.041598511278693</v>
      </c>
      <c r="F107" s="232">
        <v>4529711.3698199997</v>
      </c>
      <c r="G107" s="232">
        <v>5996204.8394400002</v>
      </c>
      <c r="H107" s="163">
        <f>IF(F107=0, "    ---- ", IF(ABS(ROUND(100/F107*G107-100,1))&lt;999,ROUND(100/F107*G107-100,1),IF(ROUND(100/F107*G107-100,1)&gt;999,999,-999)))</f>
        <v>32.4</v>
      </c>
      <c r="I107" s="25">
        <f>IFERROR(100/'Skjema total MA'!F107*G107,0)</f>
        <v>8.938801871611826</v>
      </c>
      <c r="J107" s="282">
        <f t="shared" si="9"/>
        <v>4799534.5861200001</v>
      </c>
      <c r="K107" s="42">
        <f t="shared" si="9"/>
        <v>6281185.7803000007</v>
      </c>
      <c r="L107" s="253">
        <f>IF(J107=0, "    ---- ", IF(ABS(ROUND(100/J107*K107-100,1))&lt;999,ROUND(100/J107*K107-100,1),IF(ROUND(100/J107*K107-100,1)&gt;999,999,-999)))</f>
        <v>30.9</v>
      </c>
      <c r="M107" s="25">
        <f>IFERROR(100/'Skjema total MA'!I107*K107,0)</f>
        <v>9.2574606389568679</v>
      </c>
      <c r="O107" s="145"/>
    </row>
    <row r="108" spans="1:15" ht="15.75" x14ac:dyDescent="0.2">
      <c r="A108" s="19" t="s">
        <v>415</v>
      </c>
      <c r="B108" s="232">
        <v>0</v>
      </c>
      <c r="C108" s="232">
        <v>9775.8767399999997</v>
      </c>
      <c r="D108" s="163" t="str">
        <f>IF(B108=0, "    ---- ", IF(ABS(ROUND(100/B108*C108-100,1))&lt;999,ROUND(100/B108*C108-100,1),IF(ROUND(100/B108*C108-100,1)&gt;999,999,-999)))</f>
        <v xml:space="preserve">    ---- </v>
      </c>
      <c r="E108" s="25">
        <f>IFERROR(100/'Skjema total MA'!C108*C108,0)</f>
        <v>100</v>
      </c>
      <c r="F108" s="232"/>
      <c r="G108" s="232"/>
      <c r="H108" s="163"/>
      <c r="I108" s="25"/>
      <c r="J108" s="282">
        <f t="shared" si="9"/>
        <v>0</v>
      </c>
      <c r="K108" s="42">
        <f t="shared" si="9"/>
        <v>9775.8767399999997</v>
      </c>
      <c r="L108" s="253" t="str">
        <f>IF(J108=0, "    ---- ", IF(ABS(ROUND(100/J108*K108-100,1))&lt;999,ROUND(100/J108*K108-100,1),IF(ROUND(100/J108*K108-100,1)&gt;999,999,-999)))</f>
        <v xml:space="preserve">    ---- </v>
      </c>
      <c r="M108" s="25">
        <f>IFERROR(100/'Skjema total MA'!I108*K108,0)</f>
        <v>100</v>
      </c>
      <c r="O108" s="145"/>
    </row>
    <row r="109" spans="1:15" ht="15.75" x14ac:dyDescent="0.2">
      <c r="A109" s="13" t="s">
        <v>399</v>
      </c>
      <c r="B109" s="297">
        <v>89978.879539999994</v>
      </c>
      <c r="C109" s="156">
        <v>36214.691059999997</v>
      </c>
      <c r="D109" s="168">
        <f>IF(B109=0, "    ---- ", IF(ABS(ROUND(100/B109*C109-100,1))&lt;999,ROUND(100/B109*C109-100,1),IF(ROUND(100/B109*C109-100,1)&gt;999,999,-999)))</f>
        <v>-59.8</v>
      </c>
      <c r="E109" s="11">
        <f>IFERROR(100/'Skjema total MA'!C109*C109,0)</f>
        <v>7.7804822031733725</v>
      </c>
      <c r="F109" s="297">
        <v>1075200.5389</v>
      </c>
      <c r="G109" s="156">
        <v>1346707.8624799999</v>
      </c>
      <c r="H109" s="168">
        <f>IF(F109=0, "    ---- ", IF(ABS(ROUND(100/F109*G109-100,1))&lt;999,ROUND(100/F109*G109-100,1),IF(ROUND(100/F109*G109-100,1)&gt;999,999,-999)))</f>
        <v>25.3</v>
      </c>
      <c r="I109" s="11">
        <f>IFERROR(100/'Skjema total MA'!F109*G109,0)</f>
        <v>16.388022457608631</v>
      </c>
      <c r="J109" s="298">
        <f t="shared" si="9"/>
        <v>1165179.4184400002</v>
      </c>
      <c r="K109" s="234">
        <f t="shared" si="9"/>
        <v>1382922.55354</v>
      </c>
      <c r="L109" s="411">
        <f>IF(J109=0, "    ---- ", IF(ABS(ROUND(100/J109*K109-100,1))&lt;999,ROUND(100/J109*K109-100,1),IF(ROUND(100/J109*K109-100,1)&gt;999,999,-999)))</f>
        <v>18.7</v>
      </c>
      <c r="M109" s="11">
        <f>IFERROR(100/'Skjema total MA'!I109*K109,0)</f>
        <v>15.926616707557805</v>
      </c>
      <c r="O109" s="145"/>
    </row>
    <row r="110" spans="1:15" x14ac:dyDescent="0.2">
      <c r="A110" s="19" t="s">
        <v>9</v>
      </c>
      <c r="B110" s="232">
        <v>87306</v>
      </c>
      <c r="C110" s="142">
        <v>11632.8578</v>
      </c>
      <c r="D110" s="163">
        <f t="shared" ref="D110:D123" si="10">IF(B110=0, "    ---- ", IF(ABS(ROUND(100/B110*C110-100,1))&lt;999,ROUND(100/B110*C110-100,1),IF(ROUND(100/B110*C110-100,1)&gt;999,999,-999)))</f>
        <v>-86.7</v>
      </c>
      <c r="E110" s="25">
        <f>IFERROR(100/'Skjema total MA'!C110*C110,0)</f>
        <v>2.6413834892714965</v>
      </c>
      <c r="F110" s="232">
        <v>0</v>
      </c>
      <c r="G110" s="142">
        <v>0</v>
      </c>
      <c r="H110" s="163" t="str">
        <f t="shared" ref="H110:H123" si="11">IF(F110=0, "    ---- ", IF(ABS(ROUND(100/F110*G110-100,1))&lt;999,ROUND(100/F110*G110-100,1),IF(ROUND(100/F110*G110-100,1)&gt;999,999,-999)))</f>
        <v xml:space="preserve">    ---- </v>
      </c>
      <c r="I110" s="25">
        <f>IFERROR(100/'Skjema total MA'!F110*G110,0)</f>
        <v>0</v>
      </c>
      <c r="J110" s="282">
        <f t="shared" ref="J110:K123" si="12">SUM(B110,F110)</f>
        <v>87306</v>
      </c>
      <c r="K110" s="42">
        <f t="shared" si="12"/>
        <v>11632.8578</v>
      </c>
      <c r="L110" s="253">
        <f t="shared" ref="L110:L123" si="13">IF(J110=0, "    ---- ", IF(ABS(ROUND(100/J110*K110-100,1))&lt;999,ROUND(100/J110*K110-100,1),IF(ROUND(100/J110*K110-100,1)&gt;999,999,-999)))</f>
        <v>-86.7</v>
      </c>
      <c r="M110" s="25">
        <f>IFERROR(100/'Skjema total MA'!I110*K110,0)</f>
        <v>2.6413834892714965</v>
      </c>
      <c r="O110" s="145"/>
    </row>
    <row r="111" spans="1:15" x14ac:dyDescent="0.2">
      <c r="A111" s="19" t="s">
        <v>10</v>
      </c>
      <c r="B111" s="232">
        <v>2672.8795399999999</v>
      </c>
      <c r="C111" s="142">
        <v>2225.788</v>
      </c>
      <c r="D111" s="163">
        <f t="shared" si="10"/>
        <v>-16.7</v>
      </c>
      <c r="E111" s="25">
        <f>IFERROR(100/'Skjema total MA'!C111*C111,0)</f>
        <v>82.687441791003735</v>
      </c>
      <c r="F111" s="232">
        <v>1075200.5389</v>
      </c>
      <c r="G111" s="142">
        <v>1346707.8624799999</v>
      </c>
      <c r="H111" s="163">
        <f t="shared" si="11"/>
        <v>25.3</v>
      </c>
      <c r="I111" s="25">
        <f>IFERROR(100/'Skjema total MA'!F111*G111,0)</f>
        <v>16.388022457608631</v>
      </c>
      <c r="J111" s="282">
        <f t="shared" si="12"/>
        <v>1077873.4184400002</v>
      </c>
      <c r="K111" s="42">
        <f t="shared" si="12"/>
        <v>1348933.6504799998</v>
      </c>
      <c r="L111" s="253">
        <f t="shared" si="13"/>
        <v>25.1</v>
      </c>
      <c r="M111" s="25">
        <f>IFERROR(100/'Skjema total MA'!I111*K111,0)</f>
        <v>16.409732710583295</v>
      </c>
      <c r="O111" s="145"/>
    </row>
    <row r="112" spans="1:15" x14ac:dyDescent="0.2">
      <c r="A112" s="19" t="s">
        <v>27</v>
      </c>
      <c r="B112" s="232">
        <v>0</v>
      </c>
      <c r="C112" s="142">
        <v>22356.045259999999</v>
      </c>
      <c r="D112" s="163" t="str">
        <f t="shared" si="10"/>
        <v xml:space="preserve">    ---- </v>
      </c>
      <c r="E112" s="25">
        <f>IFERROR(100/'Skjema total MA'!C112*C112,0)</f>
        <v>100</v>
      </c>
      <c r="F112" s="232"/>
      <c r="G112" s="142"/>
      <c r="H112" s="163"/>
      <c r="I112" s="25"/>
      <c r="J112" s="282">
        <f t="shared" si="12"/>
        <v>0</v>
      </c>
      <c r="K112" s="42">
        <f t="shared" si="12"/>
        <v>22356.045259999999</v>
      </c>
      <c r="L112" s="253" t="str">
        <f t="shared" si="13"/>
        <v xml:space="preserve">    ---- </v>
      </c>
      <c r="M112" s="25">
        <f>IFERROR(100/'Skjema total MA'!I112*K112,0)</f>
        <v>100</v>
      </c>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33910.836170000002</v>
      </c>
      <c r="C114" s="232">
        <v>11067.454729999999</v>
      </c>
      <c r="D114" s="163">
        <f t="shared" si="10"/>
        <v>-67.400000000000006</v>
      </c>
      <c r="E114" s="25">
        <f>IFERROR(100/'Skjema total MA'!C114*C114,0)</f>
        <v>7.6555620673541354</v>
      </c>
      <c r="F114" s="232"/>
      <c r="G114" s="232"/>
      <c r="H114" s="163"/>
      <c r="I114" s="25"/>
      <c r="J114" s="282">
        <f t="shared" si="12"/>
        <v>33910.836170000002</v>
      </c>
      <c r="K114" s="42">
        <f t="shared" si="12"/>
        <v>11067.454729999999</v>
      </c>
      <c r="L114" s="253">
        <f t="shared" si="13"/>
        <v>-67.400000000000006</v>
      </c>
      <c r="M114" s="25">
        <f>IFERROR(100/'Skjema total MA'!I114*K114,0)</f>
        <v>6.9049312419357447</v>
      </c>
      <c r="O114" s="145"/>
    </row>
    <row r="115" spans="1:15" ht="15.75" x14ac:dyDescent="0.2">
      <c r="A115" s="19" t="s">
        <v>414</v>
      </c>
      <c r="B115" s="232">
        <v>13.897</v>
      </c>
      <c r="C115" s="232">
        <v>0</v>
      </c>
      <c r="D115" s="163">
        <f t="shared" si="10"/>
        <v>-100</v>
      </c>
      <c r="E115" s="25">
        <f>IFERROR(100/'Skjema total MA'!C115*C115,0)</f>
        <v>0</v>
      </c>
      <c r="F115" s="232">
        <v>93388.412580000004</v>
      </c>
      <c r="G115" s="232">
        <v>124505.07868000001</v>
      </c>
      <c r="H115" s="163">
        <f t="shared" si="11"/>
        <v>33.299999999999997</v>
      </c>
      <c r="I115" s="25">
        <f>IFERROR(100/'Skjema total MA'!F115*G115,0)</f>
        <v>8.7078831165299668</v>
      </c>
      <c r="J115" s="282">
        <f t="shared" si="12"/>
        <v>93402.309580000001</v>
      </c>
      <c r="K115" s="42">
        <f t="shared" si="12"/>
        <v>124505.07868000001</v>
      </c>
      <c r="L115" s="253">
        <f t="shared" si="13"/>
        <v>33.299999999999997</v>
      </c>
      <c r="M115" s="25">
        <f>IFERROR(100/'Skjema total MA'!I115*K115,0)</f>
        <v>8.7078831165299668</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27220</v>
      </c>
      <c r="C117" s="156">
        <v>28626.255800000003</v>
      </c>
      <c r="D117" s="168">
        <f t="shared" si="10"/>
        <v>5.2</v>
      </c>
      <c r="E117" s="11">
        <f>IFERROR(100/'Skjema total MA'!C117*C117,0)</f>
        <v>7.5902489946799321</v>
      </c>
      <c r="F117" s="297">
        <v>235892.78896999999</v>
      </c>
      <c r="G117" s="156">
        <v>560153.52067999996</v>
      </c>
      <c r="H117" s="168">
        <f t="shared" si="11"/>
        <v>137.5</v>
      </c>
      <c r="I117" s="11">
        <f>IFERROR(100/'Skjema total MA'!F117*G117,0)</f>
        <v>6.837151140991085</v>
      </c>
      <c r="J117" s="298">
        <f t="shared" si="12"/>
        <v>263112.78896999999</v>
      </c>
      <c r="K117" s="234">
        <f t="shared" si="12"/>
        <v>588779.77648</v>
      </c>
      <c r="L117" s="411">
        <f t="shared" si="13"/>
        <v>123.8</v>
      </c>
      <c r="M117" s="11">
        <f>IFERROR(100/'Skjema total MA'!I117*K117,0)</f>
        <v>6.8702934174482468</v>
      </c>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v>27220</v>
      </c>
      <c r="C119" s="142">
        <v>21526.010740000002</v>
      </c>
      <c r="D119" s="163">
        <f t="shared" si="10"/>
        <v>-20.9</v>
      </c>
      <c r="E119" s="25">
        <f>IFERROR(100/'Skjema total MA'!C119*C119,0)</f>
        <v>92.758050066875001</v>
      </c>
      <c r="F119" s="232">
        <v>235892.78896999999</v>
      </c>
      <c r="G119" s="142">
        <v>560153.52067999996</v>
      </c>
      <c r="H119" s="163">
        <f t="shared" si="11"/>
        <v>137.5</v>
      </c>
      <c r="I119" s="25">
        <f>IFERROR(100/'Skjema total MA'!F119*G119,0)</f>
        <v>6.837151140991085</v>
      </c>
      <c r="J119" s="282">
        <f t="shared" si="12"/>
        <v>263112.78896999999</v>
      </c>
      <c r="K119" s="42">
        <f t="shared" si="12"/>
        <v>581679.53142000001</v>
      </c>
      <c r="L119" s="253">
        <f t="shared" si="13"/>
        <v>121.1</v>
      </c>
      <c r="M119" s="25">
        <f>IFERROR(100/'Skjema total MA'!I119*K119,0)</f>
        <v>7.0798403330826849</v>
      </c>
      <c r="O119" s="145"/>
    </row>
    <row r="120" spans="1:15" x14ac:dyDescent="0.2">
      <c r="A120" s="19" t="s">
        <v>27</v>
      </c>
      <c r="B120" s="232">
        <v>0</v>
      </c>
      <c r="C120" s="142">
        <v>7100.2450600000002</v>
      </c>
      <c r="D120" s="163" t="str">
        <f t="shared" si="10"/>
        <v xml:space="preserve">    ---- </v>
      </c>
      <c r="E120" s="25">
        <f>IFERROR(100/'Skjema total MA'!C120*C120,0)</f>
        <v>100</v>
      </c>
      <c r="F120" s="232">
        <v>0</v>
      </c>
      <c r="G120" s="142">
        <v>0</v>
      </c>
      <c r="H120" s="163" t="str">
        <f t="shared" si="11"/>
        <v xml:space="preserve">    ---- </v>
      </c>
      <c r="I120" s="25">
        <f>IFERROR(100/'Skjema total MA'!F120*G120,0)</f>
        <v>0</v>
      </c>
      <c r="J120" s="282">
        <f t="shared" si="12"/>
        <v>0</v>
      </c>
      <c r="K120" s="42">
        <f t="shared" si="12"/>
        <v>7100.2450600000002</v>
      </c>
      <c r="L120" s="253" t="str">
        <f t="shared" si="13"/>
        <v xml:space="preserve">    ---- </v>
      </c>
      <c r="M120" s="25">
        <f>IFERROR(100/'Skjema total MA'!I120*K120,0)</f>
        <v>100</v>
      </c>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v>1584.0615299999999</v>
      </c>
      <c r="C123" s="232">
        <v>3807.7110499999999</v>
      </c>
      <c r="D123" s="163">
        <f t="shared" si="10"/>
        <v>140.4</v>
      </c>
      <c r="E123" s="25">
        <f>IFERROR(100/'Skjema total MA'!C123*C123,0)</f>
        <v>99.94477422204524</v>
      </c>
      <c r="F123" s="232">
        <v>54852.424630000001</v>
      </c>
      <c r="G123" s="232">
        <v>136778.4608</v>
      </c>
      <c r="H123" s="163">
        <f t="shared" si="11"/>
        <v>149.4</v>
      </c>
      <c r="I123" s="25">
        <f>IFERROR(100/'Skjema total MA'!F123*G123,0)</f>
        <v>9.2192159609560456</v>
      </c>
      <c r="J123" s="282">
        <f t="shared" si="12"/>
        <v>56436.48616</v>
      </c>
      <c r="K123" s="42">
        <f t="shared" si="12"/>
        <v>140586.17185000001</v>
      </c>
      <c r="L123" s="253">
        <f t="shared" si="13"/>
        <v>149.1</v>
      </c>
      <c r="M123" s="25">
        <f>IFERROR(100/'Skjema total MA'!I123*K123,0)</f>
        <v>9.4515945005095414</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344" priority="142">
      <formula>kvartal &lt; 4</formula>
    </cfRule>
  </conditionalFormatting>
  <conditionalFormatting sqref="B29">
    <cfRule type="expression" dxfId="343" priority="140">
      <formula>kvartal &lt; 4</formula>
    </cfRule>
  </conditionalFormatting>
  <conditionalFormatting sqref="B30">
    <cfRule type="expression" dxfId="342" priority="139">
      <formula>kvartal &lt; 4</formula>
    </cfRule>
  </conditionalFormatting>
  <conditionalFormatting sqref="B31">
    <cfRule type="expression" dxfId="341" priority="138">
      <formula>kvartal &lt; 4</formula>
    </cfRule>
  </conditionalFormatting>
  <conditionalFormatting sqref="C29">
    <cfRule type="expression" dxfId="340" priority="137">
      <formula>kvartal &lt; 4</formula>
    </cfRule>
  </conditionalFormatting>
  <conditionalFormatting sqref="C30">
    <cfRule type="expression" dxfId="339" priority="136">
      <formula>kvartal &lt; 4</formula>
    </cfRule>
  </conditionalFormatting>
  <conditionalFormatting sqref="C31">
    <cfRule type="expression" dxfId="338" priority="135">
      <formula>kvartal &lt; 4</formula>
    </cfRule>
  </conditionalFormatting>
  <conditionalFormatting sqref="B23:C25">
    <cfRule type="expression" dxfId="337" priority="134">
      <formula>kvartal &lt; 4</formula>
    </cfRule>
  </conditionalFormatting>
  <conditionalFormatting sqref="F23:G25">
    <cfRule type="expression" dxfId="336" priority="130">
      <formula>kvartal &lt; 4</formula>
    </cfRule>
  </conditionalFormatting>
  <conditionalFormatting sqref="F29">
    <cfRule type="expression" dxfId="335" priority="123">
      <formula>kvartal &lt; 4</formula>
    </cfRule>
  </conditionalFormatting>
  <conditionalFormatting sqref="F30">
    <cfRule type="expression" dxfId="334" priority="122">
      <formula>kvartal &lt; 4</formula>
    </cfRule>
  </conditionalFormatting>
  <conditionalFormatting sqref="F31">
    <cfRule type="expression" dxfId="333" priority="121">
      <formula>kvartal &lt; 4</formula>
    </cfRule>
  </conditionalFormatting>
  <conditionalFormatting sqref="G29">
    <cfRule type="expression" dxfId="332" priority="120">
      <formula>kvartal &lt; 4</formula>
    </cfRule>
  </conditionalFormatting>
  <conditionalFormatting sqref="G30">
    <cfRule type="expression" dxfId="331" priority="119">
      <formula>kvartal &lt; 4</formula>
    </cfRule>
  </conditionalFormatting>
  <conditionalFormatting sqref="G31">
    <cfRule type="expression" dxfId="330" priority="118">
      <formula>kvartal &lt; 4</formula>
    </cfRule>
  </conditionalFormatting>
  <conditionalFormatting sqref="B26">
    <cfRule type="expression" dxfId="329" priority="117">
      <formula>kvartal &lt; 4</formula>
    </cfRule>
  </conditionalFormatting>
  <conditionalFormatting sqref="C26">
    <cfRule type="expression" dxfId="328" priority="116">
      <formula>kvartal &lt; 4</formula>
    </cfRule>
  </conditionalFormatting>
  <conditionalFormatting sqref="F26">
    <cfRule type="expression" dxfId="327" priority="115">
      <formula>kvartal &lt; 4</formula>
    </cfRule>
  </conditionalFormatting>
  <conditionalFormatting sqref="G26">
    <cfRule type="expression" dxfId="326" priority="114">
      <formula>kvartal &lt; 4</formula>
    </cfRule>
  </conditionalFormatting>
  <conditionalFormatting sqref="J23:K26">
    <cfRule type="expression" dxfId="325" priority="113">
      <formula>kvartal &lt; 4</formula>
    </cfRule>
  </conditionalFormatting>
  <conditionalFormatting sqref="J29:K31">
    <cfRule type="expression" dxfId="324" priority="111">
      <formula>kvartal &lt; 4</formula>
    </cfRule>
  </conditionalFormatting>
  <conditionalFormatting sqref="B67">
    <cfRule type="expression" dxfId="323" priority="110">
      <formula>kvartal &lt; 4</formula>
    </cfRule>
  </conditionalFormatting>
  <conditionalFormatting sqref="C67">
    <cfRule type="expression" dxfId="322" priority="109">
      <formula>kvartal &lt; 4</formula>
    </cfRule>
  </conditionalFormatting>
  <conditionalFormatting sqref="B70">
    <cfRule type="expression" dxfId="321" priority="108">
      <formula>kvartal &lt; 4</formula>
    </cfRule>
  </conditionalFormatting>
  <conditionalFormatting sqref="C70">
    <cfRule type="expression" dxfId="320" priority="107">
      <formula>kvartal &lt; 4</formula>
    </cfRule>
  </conditionalFormatting>
  <conditionalFormatting sqref="B78">
    <cfRule type="expression" dxfId="319" priority="106">
      <formula>kvartal &lt; 4</formula>
    </cfRule>
  </conditionalFormatting>
  <conditionalFormatting sqref="C78">
    <cfRule type="expression" dxfId="318" priority="105">
      <formula>kvartal &lt; 4</formula>
    </cfRule>
  </conditionalFormatting>
  <conditionalFormatting sqref="B81">
    <cfRule type="expression" dxfId="317" priority="104">
      <formula>kvartal &lt; 4</formula>
    </cfRule>
  </conditionalFormatting>
  <conditionalFormatting sqref="C81">
    <cfRule type="expression" dxfId="316" priority="103">
      <formula>kvartal &lt; 4</formula>
    </cfRule>
  </conditionalFormatting>
  <conditionalFormatting sqref="B88">
    <cfRule type="expression" dxfId="315" priority="94">
      <formula>kvartal &lt; 4</formula>
    </cfRule>
  </conditionalFormatting>
  <conditionalFormatting sqref="C88">
    <cfRule type="expression" dxfId="314" priority="93">
      <formula>kvartal &lt; 4</formula>
    </cfRule>
  </conditionalFormatting>
  <conditionalFormatting sqref="B91">
    <cfRule type="expression" dxfId="313" priority="92">
      <formula>kvartal &lt; 4</formula>
    </cfRule>
  </conditionalFormatting>
  <conditionalFormatting sqref="C91">
    <cfRule type="expression" dxfId="312" priority="91">
      <formula>kvartal &lt; 4</formula>
    </cfRule>
  </conditionalFormatting>
  <conditionalFormatting sqref="B99">
    <cfRule type="expression" dxfId="311" priority="90">
      <formula>kvartal &lt; 4</formula>
    </cfRule>
  </conditionalFormatting>
  <conditionalFormatting sqref="C99">
    <cfRule type="expression" dxfId="310" priority="89">
      <formula>kvartal &lt; 4</formula>
    </cfRule>
  </conditionalFormatting>
  <conditionalFormatting sqref="B102">
    <cfRule type="expression" dxfId="309" priority="88">
      <formula>kvartal &lt; 4</formula>
    </cfRule>
  </conditionalFormatting>
  <conditionalFormatting sqref="C102">
    <cfRule type="expression" dxfId="308" priority="87">
      <formula>kvartal &lt; 4</formula>
    </cfRule>
  </conditionalFormatting>
  <conditionalFormatting sqref="B113">
    <cfRule type="expression" dxfId="307" priority="86">
      <formula>kvartal &lt; 4</formula>
    </cfRule>
  </conditionalFormatting>
  <conditionalFormatting sqref="C113">
    <cfRule type="expression" dxfId="306" priority="85">
      <formula>kvartal &lt; 4</formula>
    </cfRule>
  </conditionalFormatting>
  <conditionalFormatting sqref="B121">
    <cfRule type="expression" dxfId="305" priority="84">
      <formula>kvartal &lt; 4</formula>
    </cfRule>
  </conditionalFormatting>
  <conditionalFormatting sqref="C121">
    <cfRule type="expression" dxfId="304" priority="83">
      <formula>kvartal &lt; 4</formula>
    </cfRule>
  </conditionalFormatting>
  <conditionalFormatting sqref="F68">
    <cfRule type="expression" dxfId="303" priority="82">
      <formula>kvartal &lt; 4</formula>
    </cfRule>
  </conditionalFormatting>
  <conditionalFormatting sqref="G68">
    <cfRule type="expression" dxfId="302" priority="81">
      <formula>kvartal &lt; 4</formula>
    </cfRule>
  </conditionalFormatting>
  <conditionalFormatting sqref="F69:G69">
    <cfRule type="expression" dxfId="301" priority="80">
      <formula>kvartal &lt; 4</formula>
    </cfRule>
  </conditionalFormatting>
  <conditionalFormatting sqref="F71:G72">
    <cfRule type="expression" dxfId="300" priority="79">
      <formula>kvartal &lt; 4</formula>
    </cfRule>
  </conditionalFormatting>
  <conditionalFormatting sqref="F79:G80">
    <cfRule type="expression" dxfId="299" priority="78">
      <formula>kvartal &lt; 4</formula>
    </cfRule>
  </conditionalFormatting>
  <conditionalFormatting sqref="F82:G83">
    <cfRule type="expression" dxfId="298" priority="77">
      <formula>kvartal &lt; 4</formula>
    </cfRule>
  </conditionalFormatting>
  <conditionalFormatting sqref="F89:G90">
    <cfRule type="expression" dxfId="297" priority="72">
      <formula>kvartal &lt; 4</formula>
    </cfRule>
  </conditionalFormatting>
  <conditionalFormatting sqref="F92:G93">
    <cfRule type="expression" dxfId="296" priority="71">
      <formula>kvartal &lt; 4</formula>
    </cfRule>
  </conditionalFormatting>
  <conditionalFormatting sqref="F100:G101">
    <cfRule type="expression" dxfId="295" priority="70">
      <formula>kvartal &lt; 4</formula>
    </cfRule>
  </conditionalFormatting>
  <conditionalFormatting sqref="F103:G104">
    <cfRule type="expression" dxfId="294" priority="69">
      <formula>kvartal &lt; 4</formula>
    </cfRule>
  </conditionalFormatting>
  <conditionalFormatting sqref="F113">
    <cfRule type="expression" dxfId="293" priority="68">
      <formula>kvartal &lt; 4</formula>
    </cfRule>
  </conditionalFormatting>
  <conditionalFormatting sqref="G113">
    <cfRule type="expression" dxfId="292" priority="67">
      <formula>kvartal &lt; 4</formula>
    </cfRule>
  </conditionalFormatting>
  <conditionalFormatting sqref="F121:G121">
    <cfRule type="expression" dxfId="291" priority="66">
      <formula>kvartal &lt; 4</formula>
    </cfRule>
  </conditionalFormatting>
  <conditionalFormatting sqref="F67:G67">
    <cfRule type="expression" dxfId="290" priority="65">
      <formula>kvartal &lt; 4</formula>
    </cfRule>
  </conditionalFormatting>
  <conditionalFormatting sqref="F70:G70">
    <cfRule type="expression" dxfId="289" priority="64">
      <formula>kvartal &lt; 4</formula>
    </cfRule>
  </conditionalFormatting>
  <conditionalFormatting sqref="F78:G78">
    <cfRule type="expression" dxfId="288" priority="63">
      <formula>kvartal &lt; 4</formula>
    </cfRule>
  </conditionalFormatting>
  <conditionalFormatting sqref="F81:G81">
    <cfRule type="expression" dxfId="287" priority="62">
      <formula>kvartal &lt; 4</formula>
    </cfRule>
  </conditionalFormatting>
  <conditionalFormatting sqref="F88:G88">
    <cfRule type="expression" dxfId="286" priority="56">
      <formula>kvartal &lt; 4</formula>
    </cfRule>
  </conditionalFormatting>
  <conditionalFormatting sqref="F91">
    <cfRule type="expression" dxfId="285" priority="55">
      <formula>kvartal &lt; 4</formula>
    </cfRule>
  </conditionalFormatting>
  <conditionalFormatting sqref="G91">
    <cfRule type="expression" dxfId="284" priority="54">
      <formula>kvartal &lt; 4</formula>
    </cfRule>
  </conditionalFormatting>
  <conditionalFormatting sqref="F99">
    <cfRule type="expression" dxfId="283" priority="53">
      <formula>kvartal &lt; 4</formula>
    </cfRule>
  </conditionalFormatting>
  <conditionalFormatting sqref="G99">
    <cfRule type="expression" dxfId="282" priority="52">
      <formula>kvartal &lt; 4</formula>
    </cfRule>
  </conditionalFormatting>
  <conditionalFormatting sqref="G102">
    <cfRule type="expression" dxfId="281" priority="51">
      <formula>kvartal &lt; 4</formula>
    </cfRule>
  </conditionalFormatting>
  <conditionalFormatting sqref="F102">
    <cfRule type="expression" dxfId="280" priority="50">
      <formula>kvartal &lt; 4</formula>
    </cfRule>
  </conditionalFormatting>
  <conditionalFormatting sqref="J67:K71">
    <cfRule type="expression" dxfId="279" priority="49">
      <formula>kvartal &lt; 4</formula>
    </cfRule>
  </conditionalFormatting>
  <conditionalFormatting sqref="J72:K72">
    <cfRule type="expression" dxfId="278" priority="48">
      <formula>kvartal &lt; 4</formula>
    </cfRule>
  </conditionalFormatting>
  <conditionalFormatting sqref="J78:K83">
    <cfRule type="expression" dxfId="277" priority="47">
      <formula>kvartal &lt; 4</formula>
    </cfRule>
  </conditionalFormatting>
  <conditionalFormatting sqref="J88:K93">
    <cfRule type="expression" dxfId="276" priority="44">
      <formula>kvartal &lt; 4</formula>
    </cfRule>
  </conditionalFormatting>
  <conditionalFormatting sqref="J99:K104">
    <cfRule type="expression" dxfId="275" priority="43">
      <formula>kvartal &lt; 4</formula>
    </cfRule>
  </conditionalFormatting>
  <conditionalFormatting sqref="J113:K113">
    <cfRule type="expression" dxfId="274" priority="42">
      <formula>kvartal &lt; 4</formula>
    </cfRule>
  </conditionalFormatting>
  <conditionalFormatting sqref="J121:K121">
    <cfRule type="expression" dxfId="273" priority="41">
      <formula>kvartal &lt; 4</formula>
    </cfRule>
  </conditionalFormatting>
  <conditionalFormatting sqref="A23:A25">
    <cfRule type="expression" dxfId="272" priority="10">
      <formula>kvartal &lt; 4</formula>
    </cfRule>
  </conditionalFormatting>
  <conditionalFormatting sqref="A48:A50">
    <cfRule type="expression" dxfId="271" priority="9">
      <formula>kvartal &lt; 4</formula>
    </cfRule>
  </conditionalFormatting>
  <conditionalFormatting sqref="A67:A72">
    <cfRule type="expression" dxfId="270" priority="8">
      <formula>kvartal &lt; 4</formula>
    </cfRule>
  </conditionalFormatting>
  <conditionalFormatting sqref="A113">
    <cfRule type="expression" dxfId="269" priority="7">
      <formula>kvartal &lt; 4</formula>
    </cfRule>
  </conditionalFormatting>
  <conditionalFormatting sqref="A121">
    <cfRule type="expression" dxfId="268" priority="6">
      <formula>kvartal &lt; 4</formula>
    </cfRule>
  </conditionalFormatting>
  <conditionalFormatting sqref="A26">
    <cfRule type="expression" dxfId="267" priority="5">
      <formula>kvartal &lt; 4</formula>
    </cfRule>
  </conditionalFormatting>
  <conditionalFormatting sqref="A29:A31">
    <cfRule type="expression" dxfId="266" priority="4">
      <formula>kvartal &lt; 4</formula>
    </cfRule>
  </conditionalFormatting>
  <conditionalFormatting sqref="A78:A83">
    <cfRule type="expression" dxfId="265" priority="3">
      <formula>kvartal &lt; 4</formula>
    </cfRule>
  </conditionalFormatting>
  <conditionalFormatting sqref="A88:A93">
    <cfRule type="expression" dxfId="264" priority="2">
      <formula>kvartal &lt; 4</formula>
    </cfRule>
  </conditionalFormatting>
  <conditionalFormatting sqref="A99:A104">
    <cfRule type="expression" dxfId="263" priority="1">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42"/>
  <sheetViews>
    <sheetView showGridLines="0" zoomScaleNormal="100" workbookViewId="0"/>
  </sheetViews>
  <sheetFormatPr baseColWidth="10" defaultColWidth="11.42578125" defaultRowHeight="12.75" x14ac:dyDescent="0.2"/>
  <cols>
    <col min="1" max="1" width="44.710937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148</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508470.00900000002</v>
      </c>
      <c r="C7" s="296">
        <v>503127.75599999999</v>
      </c>
      <c r="D7" s="336">
        <f t="shared" ref="D7:D10" si="0">IF(B7=0, "    ---- ", IF(ABS(ROUND(100/B7*C7-100,1))&lt;999,ROUND(100/B7*C7-100,1),IF(ROUND(100/B7*C7-100,1)&gt;999,999,-999)))</f>
        <v>-1.1000000000000001</v>
      </c>
      <c r="E7" s="11">
        <f>IFERROR(100/'Skjema total MA'!C7*C7,0)</f>
        <v>13.749187676988898</v>
      </c>
      <c r="F7" s="295">
        <v>1233808</v>
      </c>
      <c r="G7" s="296">
        <v>1237480.2420000001</v>
      </c>
      <c r="H7" s="336">
        <f>IF(F7=0, "    ---- ", IF(ABS(ROUND(100/F7*G7-100,1))&lt;999,ROUND(100/F7*G7-100,1),IF(ROUND(100/F7*G7-100,1)&gt;999,999,-999)))</f>
        <v>0.3</v>
      </c>
      <c r="I7" s="157">
        <f>IFERROR(100/'Skjema total MA'!F7*G7,0)</f>
        <v>19.567629750253559</v>
      </c>
      <c r="J7" s="297">
        <f t="shared" ref="J7:K12" si="1">SUM(B7,F7)</f>
        <v>1742278.0090000001</v>
      </c>
      <c r="K7" s="298">
        <f t="shared" si="1"/>
        <v>1740607.9980000001</v>
      </c>
      <c r="L7" s="410">
        <f>IF(J7=0, "    ---- ", IF(ABS(ROUND(100/J7*K7-100,1))&lt;999,ROUND(100/J7*K7-100,1),IF(ROUND(100/J7*K7-100,1)&gt;999,999,-999)))</f>
        <v>-0.1</v>
      </c>
      <c r="M7" s="11">
        <f>IFERROR(100/'Skjema total MA'!I7*K7,0)</f>
        <v>17.434941084401277</v>
      </c>
      <c r="O7" s="145"/>
    </row>
    <row r="8" spans="1:15" ht="15.75" x14ac:dyDescent="0.2">
      <c r="A8" s="19" t="s">
        <v>26</v>
      </c>
      <c r="B8" s="278">
        <v>186179</v>
      </c>
      <c r="C8" s="279">
        <v>181921.04699999999</v>
      </c>
      <c r="D8" s="163">
        <f t="shared" si="0"/>
        <v>-2.2999999999999998</v>
      </c>
      <c r="E8" s="25">
        <f>IFERROR(100/'Skjema total MA'!C8*C8,0)</f>
        <v>9.2248984334862367</v>
      </c>
      <c r="F8" s="653"/>
      <c r="G8" s="654"/>
      <c r="H8" s="163"/>
      <c r="I8" s="173"/>
      <c r="J8" s="232">
        <f t="shared" si="1"/>
        <v>186179</v>
      </c>
      <c r="K8" s="282">
        <f t="shared" si="1"/>
        <v>181921.04699999999</v>
      </c>
      <c r="L8" s="253"/>
      <c r="M8" s="25">
        <f>IFERROR(100/'Skjema total MA'!I8*K8,0)</f>
        <v>9.2248984334862367</v>
      </c>
      <c r="O8" s="145"/>
    </row>
    <row r="9" spans="1:15" ht="15.75" x14ac:dyDescent="0.2">
      <c r="A9" s="19" t="s">
        <v>25</v>
      </c>
      <c r="B9" s="278">
        <v>58940</v>
      </c>
      <c r="C9" s="279">
        <v>53086.065000000002</v>
      </c>
      <c r="D9" s="163">
        <f t="shared" si="0"/>
        <v>-9.9</v>
      </c>
      <c r="E9" s="25">
        <f>IFERROR(100/'Skjema total MA'!C9*C9,0)</f>
        <v>5.9117081249088477</v>
      </c>
      <c r="F9" s="653"/>
      <c r="G9" s="654"/>
      <c r="H9" s="163"/>
      <c r="I9" s="173"/>
      <c r="J9" s="232">
        <f t="shared" si="1"/>
        <v>58940</v>
      </c>
      <c r="K9" s="282">
        <f t="shared" si="1"/>
        <v>53086.065000000002</v>
      </c>
      <c r="L9" s="253"/>
      <c r="M9" s="25">
        <f>IFERROR(100/'Skjema total MA'!I9*K9,0)</f>
        <v>5.9117081249088477</v>
      </c>
      <c r="O9" s="145"/>
    </row>
    <row r="10" spans="1:15" ht="15.75" x14ac:dyDescent="0.2">
      <c r="A10" s="13" t="s">
        <v>398</v>
      </c>
      <c r="B10" s="299">
        <v>4102931.4640799998</v>
      </c>
      <c r="C10" s="300">
        <v>4081394.5219999999</v>
      </c>
      <c r="D10" s="168">
        <f t="shared" si="0"/>
        <v>-0.5</v>
      </c>
      <c r="E10" s="11">
        <f>IFERROR(100/'Skjema total MA'!C10*C10,0)</f>
        <v>18.152485980804418</v>
      </c>
      <c r="F10" s="299">
        <v>4602441.3890000004</v>
      </c>
      <c r="G10" s="300">
        <v>6131533.6069999998</v>
      </c>
      <c r="H10" s="168">
        <f>IF(F10=0, "    ---- ", IF(ABS(ROUND(100/F10*G10-100,1))&lt;999,ROUND(100/F10*G10-100,1),IF(ROUND(100/F10*G10-100,1)&gt;999,999,-999)))</f>
        <v>33.200000000000003</v>
      </c>
      <c r="I10" s="157">
        <f>IFERROR(100/'Skjema total MA'!F10*G10,0)</f>
        <v>15.692257214217818</v>
      </c>
      <c r="J10" s="297">
        <f t="shared" si="1"/>
        <v>8705372.8530800007</v>
      </c>
      <c r="K10" s="298">
        <f t="shared" si="1"/>
        <v>10212928.129000001</v>
      </c>
      <c r="L10" s="411">
        <f>IF(J10=0, "    ---- ", IF(ABS(ROUND(100/J10*K10-100,1))&lt;999,ROUND(100/J10*K10-100,1),IF(ROUND(100/J10*K10-100,1)&gt;999,999,-999)))</f>
        <v>17.3</v>
      </c>
      <c r="M10" s="11">
        <f>IFERROR(100/'Skjema total MA'!I10*K10,0)</f>
        <v>16.590857422479814</v>
      </c>
      <c r="O10" s="145"/>
    </row>
    <row r="11" spans="1:15" s="41" customFormat="1" ht="15.75" x14ac:dyDescent="0.2">
      <c r="A11" s="13" t="s">
        <v>399</v>
      </c>
      <c r="B11" s="299"/>
      <c r="C11" s="300"/>
      <c r="D11" s="168"/>
      <c r="E11" s="11"/>
      <c r="F11" s="299">
        <v>1016.518</v>
      </c>
      <c r="G11" s="300">
        <v>4774.2929999999997</v>
      </c>
      <c r="H11" s="168">
        <f>IF(F11=0, "    ---- ", IF(ABS(ROUND(100/F11*G11-100,1))&lt;999,ROUND(100/F11*G11-100,1),IF(ROUND(100/F11*G11-100,1)&gt;999,999,-999)))</f>
        <v>369.7</v>
      </c>
      <c r="I11" s="157">
        <f>IFERROR(100/'Skjema total MA'!F11*G11,0)</f>
        <v>2.4103625617888591</v>
      </c>
      <c r="J11" s="297">
        <f t="shared" si="1"/>
        <v>1016.518</v>
      </c>
      <c r="K11" s="298">
        <f t="shared" si="1"/>
        <v>4774.2929999999997</v>
      </c>
      <c r="L11" s="411">
        <f>IF(J11=0, "    ---- ", IF(ABS(ROUND(100/J11*K11-100,1))&lt;999,ROUND(100/J11*K11-100,1),IF(ROUND(100/J11*K11-100,1)&gt;999,999,-999)))</f>
        <v>369.7</v>
      </c>
      <c r="M11" s="11">
        <f>IFERROR(100/'Skjema total MA'!I11*K11,0)</f>
        <v>1.6839253979066395</v>
      </c>
      <c r="N11" s="140"/>
      <c r="O11" s="145"/>
    </row>
    <row r="12" spans="1:15" s="41" customFormat="1" ht="15.75" x14ac:dyDescent="0.2">
      <c r="A12" s="39" t="s">
        <v>400</v>
      </c>
      <c r="B12" s="301"/>
      <c r="C12" s="302"/>
      <c r="D12" s="166"/>
      <c r="E12" s="34"/>
      <c r="F12" s="301">
        <v>42274.071000000004</v>
      </c>
      <c r="G12" s="302">
        <v>25119.333999999999</v>
      </c>
      <c r="H12" s="166">
        <f>IF(F12=0, "    ---- ", IF(ABS(ROUND(100/F12*G12-100,1))&lt;999,ROUND(100/F12*G12-100,1),IF(ROUND(100/F12*G12-100,1)&gt;999,999,-999)))</f>
        <v>-40.6</v>
      </c>
      <c r="I12" s="166">
        <f>IFERROR(100/'Skjema total MA'!F12*G12,0)</f>
        <v>25.296272769105748</v>
      </c>
      <c r="J12" s="303">
        <f t="shared" si="1"/>
        <v>42274.071000000004</v>
      </c>
      <c r="K12" s="304">
        <f t="shared" si="1"/>
        <v>25119.333999999999</v>
      </c>
      <c r="L12" s="412">
        <f>IF(J12=0, "    ---- ", IF(ABS(ROUND(100/J12*K12-100,1))&lt;999,ROUND(100/J12*K12-100,1),IF(ROUND(100/J12*K12-100,1)&gt;999,999,-999)))</f>
        <v>-40.6</v>
      </c>
      <c r="M12" s="34">
        <f>IFERROR(100/'Skjema total MA'!I12*K12,0)</f>
        <v>19.795910067939932</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v>11108.282999999999</v>
      </c>
      <c r="C22" s="306">
        <v>9388.1689999999999</v>
      </c>
      <c r="D22" s="336">
        <f t="shared" ref="D22:D35" si="2">IF(B22=0, "    ---- ", IF(ABS(ROUND(100/B22*C22-100,1))&lt;999,ROUND(100/B22*C22-100,1),IF(ROUND(100/B22*C22-100,1)&gt;999,999,-999)))</f>
        <v>-15.5</v>
      </c>
      <c r="E22" s="11">
        <f>IFERROR(100/'Skjema total MA'!C22*C22,0)</f>
        <v>0.73527411851136704</v>
      </c>
      <c r="F22" s="307">
        <v>32064.899000000001</v>
      </c>
      <c r="G22" s="306">
        <v>11853.83</v>
      </c>
      <c r="H22" s="336">
        <f>IF(F22=0, "    ---- ", IF(ABS(ROUND(100/F22*G22-100,1))&lt;999,ROUND(100/F22*G22-100,1),IF(ROUND(100/F22*G22-100,1)&gt;999,999,-999)))</f>
        <v>-63</v>
      </c>
      <c r="I22" s="11">
        <f>IFERROR(100/'Skjema total MA'!F22*G22,0)</f>
        <v>4.2679924101394766</v>
      </c>
      <c r="J22" s="305">
        <f>SUM(B22,F22)</f>
        <v>43173.182000000001</v>
      </c>
      <c r="K22" s="305">
        <f>SUM(C22,G22)</f>
        <v>21241.999</v>
      </c>
      <c r="L22" s="410">
        <f>IF(J22=0, "    ---- ", IF(ABS(ROUND(100/J22*K22-100,1))&lt;999,ROUND(100/J22*K22-100,1),IF(ROUND(100/J22*K22-100,1)&gt;999,999,-999)))</f>
        <v>-50.8</v>
      </c>
      <c r="M22" s="22">
        <f>IFERROR(100/'Skjema total MA'!I22*K22,0)</f>
        <v>1.366428471097624</v>
      </c>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v>161019</v>
      </c>
      <c r="C27" s="282">
        <v>147190.288</v>
      </c>
      <c r="D27" s="163">
        <f t="shared" si="2"/>
        <v>-8.6</v>
      </c>
      <c r="E27" s="25">
        <f>IFERROR(100/'Skjema total MA'!C27*C27,0)</f>
        <v>11.448727565298512</v>
      </c>
      <c r="F27" s="232"/>
      <c r="G27" s="282"/>
      <c r="H27" s="163"/>
      <c r="I27" s="25"/>
      <c r="J27" s="42">
        <f>SUM(B27,F27)</f>
        <v>161019</v>
      </c>
      <c r="K27" s="42">
        <f>SUM(C27,G27)</f>
        <v>147190.288</v>
      </c>
      <c r="L27" s="253">
        <f>IF(J27=0, "    ---- ", IF(ABS(ROUND(100/J27*K27-100,1))&lt;999,ROUND(100/J27*K27-100,1),IF(ROUND(100/J27*K27-100,1)&gt;999,999,-999)))</f>
        <v>-8.6</v>
      </c>
      <c r="M27" s="21">
        <f>IFERROR(100/'Skjema total MA'!I27*K27,0)</f>
        <v>11.448727565298512</v>
      </c>
      <c r="O27" s="145"/>
    </row>
    <row r="28" spans="1:15" s="3" customFormat="1" ht="15.75" x14ac:dyDescent="0.2">
      <c r="A28" s="13" t="s">
        <v>398</v>
      </c>
      <c r="B28" s="234">
        <v>11951486.68</v>
      </c>
      <c r="C28" s="298">
        <v>11508851.419</v>
      </c>
      <c r="D28" s="168">
        <f t="shared" si="2"/>
        <v>-3.7</v>
      </c>
      <c r="E28" s="11">
        <f>IFERROR(100/'Skjema total MA'!C28*C28,0)</f>
        <v>22.51899474621451</v>
      </c>
      <c r="F28" s="297">
        <v>3463804.0860000001</v>
      </c>
      <c r="G28" s="298">
        <v>3706728.8080000002</v>
      </c>
      <c r="H28" s="168">
        <f>IF(F28=0, "    ---- ", IF(ABS(ROUND(100/F28*G28-100,1))&lt;999,ROUND(100/F28*G28-100,1),IF(ROUND(100/F28*G28-100,1)&gt;999,999,-999)))</f>
        <v>7</v>
      </c>
      <c r="I28" s="11">
        <f>IFERROR(100/'Skjema total MA'!F28*G28,0)</f>
        <v>18.972074125733563</v>
      </c>
      <c r="J28" s="234">
        <f>SUM(B28,F28)</f>
        <v>15415290.765999999</v>
      </c>
      <c r="K28" s="234">
        <f>SUM(C28,G28)</f>
        <v>15215580.227</v>
      </c>
      <c r="L28" s="411">
        <f>IF(J28=0, "    ---- ", IF(ABS(ROUND(100/J28*K28-100,1))&lt;999,ROUND(100/J28*K28-100,1),IF(ROUND(100/J28*K28-100,1)&gt;999,999,-999)))</f>
        <v>-1.3</v>
      </c>
      <c r="M28" s="22">
        <f>IFERROR(100/'Skjema total MA'!I28*K28,0)</f>
        <v>21.538048300563236</v>
      </c>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v>5384.5829999999996</v>
      </c>
      <c r="C32" s="298">
        <v>7394.308</v>
      </c>
      <c r="D32" s="168">
        <f t="shared" si="2"/>
        <v>37.299999999999997</v>
      </c>
      <c r="E32" s="11">
        <f>IFERROR(100/'Skjema total MA'!C32*C32,0)</f>
        <v>21.16088402305774</v>
      </c>
      <c r="F32" s="297">
        <v>13309.231</v>
      </c>
      <c r="G32" s="298">
        <v>7785.1769999999997</v>
      </c>
      <c r="H32" s="168">
        <f>IF(F32=0, "    ---- ", IF(ABS(ROUND(100/F32*G32-100,1))&lt;999,ROUND(100/F32*G32-100,1),IF(ROUND(100/F32*G32-100,1)&gt;999,999,-999)))</f>
        <v>-41.5</v>
      </c>
      <c r="I32" s="11">
        <f>IFERROR(100/'Skjema total MA'!F32*G32,0)</f>
        <v>101.23863308133188</v>
      </c>
      <c r="J32" s="234">
        <f t="shared" ref="J32:K35" si="3">SUM(B32,F32)</f>
        <v>18693.813999999998</v>
      </c>
      <c r="K32" s="234">
        <f t="shared" si="3"/>
        <v>15179.485000000001</v>
      </c>
      <c r="L32" s="411">
        <f>IF(J32=0, "    ---- ", IF(ABS(ROUND(100/J32*K32-100,1))&lt;999,ROUND(100/J32*K32-100,1),IF(ROUND(100/J32*K32-100,1)&gt;999,999,-999)))</f>
        <v>-18.8</v>
      </c>
      <c r="M32" s="22">
        <f>IFERROR(100/'Skjema total MA'!I32*K32,0)</f>
        <v>35.60483553113928</v>
      </c>
      <c r="O32" s="145"/>
    </row>
    <row r="33" spans="1:15" ht="15.75" x14ac:dyDescent="0.2">
      <c r="A33" s="13" t="s">
        <v>400</v>
      </c>
      <c r="B33" s="234">
        <v>1858.3530000000001</v>
      </c>
      <c r="C33" s="298">
        <v>4517.3140000000003</v>
      </c>
      <c r="D33" s="168">
        <f t="shared" si="2"/>
        <v>143.1</v>
      </c>
      <c r="E33" s="11">
        <f>IFERROR(100/'Skjema total MA'!C33*C33,0)</f>
        <v>-7.877551956026867</v>
      </c>
      <c r="F33" s="297">
        <v>6814.3729999999996</v>
      </c>
      <c r="G33" s="298">
        <v>12112.941999999999</v>
      </c>
      <c r="H33" s="168">
        <f>IF(F33=0, "    ---- ", IF(ABS(ROUND(100/F33*G33-100,1))&lt;999,ROUND(100/F33*G33-100,1),IF(ROUND(100/F33*G33-100,1)&gt;999,999,-999)))</f>
        <v>77.8</v>
      </c>
      <c r="I33" s="11">
        <f>IFERROR(100/'Skjema total MA'!F33*G33,0)</f>
        <v>14.770286347010735</v>
      </c>
      <c r="J33" s="234">
        <f t="shared" si="3"/>
        <v>8672.7259999999987</v>
      </c>
      <c r="K33" s="234">
        <f t="shared" si="3"/>
        <v>16630.256000000001</v>
      </c>
      <c r="L33" s="411">
        <f>IF(J33=0, "    ---- ", IF(ABS(ROUND(100/J33*K33-100,1))&lt;999,ROUND(100/J33*K33-100,1),IF(ROUND(100/J33*K33-100,1)&gt;999,999,-999)))</f>
        <v>91.8</v>
      </c>
      <c r="M33" s="22">
        <f>IFERROR(100/'Skjema total MA'!I33*K33,0)</f>
        <v>67.425290106315728</v>
      </c>
      <c r="O33" s="145"/>
    </row>
    <row r="34" spans="1:15" ht="15.75" x14ac:dyDescent="0.2">
      <c r="A34" s="12" t="s">
        <v>301</v>
      </c>
      <c r="B34" s="234">
        <v>94.855000000000004</v>
      </c>
      <c r="C34" s="298">
        <v>46.165999999999997</v>
      </c>
      <c r="D34" s="168">
        <f t="shared" si="2"/>
        <v>-51.3</v>
      </c>
      <c r="E34" s="11">
        <f>100/'Skjema total MA'!C34*C34</f>
        <v>1.4636515643120873</v>
      </c>
      <c r="F34" s="655"/>
      <c r="G34" s="656"/>
      <c r="H34" s="168"/>
      <c r="I34" s="417"/>
      <c r="J34" s="234">
        <f t="shared" si="3"/>
        <v>94.855000000000004</v>
      </c>
      <c r="K34" s="234">
        <f t="shared" si="3"/>
        <v>46.165999999999997</v>
      </c>
      <c r="L34" s="411"/>
      <c r="M34" s="22">
        <f>IFERROR(100/'Skjema total MA'!I34*K34,0)</f>
        <v>1.4636515643120873</v>
      </c>
      <c r="O34" s="145"/>
    </row>
    <row r="35" spans="1:15" ht="15.75" x14ac:dyDescent="0.2">
      <c r="A35" s="12" t="s">
        <v>404</v>
      </c>
      <c r="B35" s="234">
        <v>497717.88900000002</v>
      </c>
      <c r="C35" s="298">
        <v>488839.49400000001</v>
      </c>
      <c r="D35" s="168">
        <f t="shared" si="2"/>
        <v>-1.8</v>
      </c>
      <c r="E35" s="11">
        <f>100/'Skjema total MA'!C35*C35</f>
        <v>12.030794048778311</v>
      </c>
      <c r="F35" s="655"/>
      <c r="G35" s="657"/>
      <c r="H35" s="168"/>
      <c r="I35" s="417"/>
      <c r="J35" s="234">
        <f t="shared" si="3"/>
        <v>497717.88900000002</v>
      </c>
      <c r="K35" s="234">
        <f t="shared" si="3"/>
        <v>488839.49400000001</v>
      </c>
      <c r="L35" s="411"/>
      <c r="M35" s="22">
        <f>IFERROR(100/'Skjema total MA'!I35*K35,0)</f>
        <v>12.030794048778311</v>
      </c>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732193.79399999999</v>
      </c>
      <c r="C45" s="300">
        <v>731815.60100000002</v>
      </c>
      <c r="D45" s="410">
        <f t="shared" ref="D45:D55" si="4">IF(B45=0, "    ---- ", IF(ABS(ROUND(100/B45*C45-100,1))&lt;999,ROUND(100/B45*C45-100,1),IF(ROUND(100/B45*C45-100,1)&gt;999,999,-999)))</f>
        <v>-0.1</v>
      </c>
      <c r="E45" s="11">
        <f>IFERROR(100/'Skjema total MA'!C45*C45,0)</f>
        <v>21.921884716834739</v>
      </c>
      <c r="F45" s="142"/>
      <c r="G45" s="31"/>
      <c r="H45" s="156"/>
      <c r="I45" s="156"/>
      <c r="J45" s="35"/>
      <c r="K45" s="35"/>
      <c r="L45" s="156"/>
      <c r="M45" s="156"/>
      <c r="N45" s="145"/>
      <c r="O45" s="145"/>
    </row>
    <row r="46" spans="1:15" s="3" customFormat="1" ht="15.75" x14ac:dyDescent="0.2">
      <c r="A46" s="36" t="s">
        <v>407</v>
      </c>
      <c r="B46" s="278">
        <v>464173.06</v>
      </c>
      <c r="C46" s="279">
        <v>448287.70899999997</v>
      </c>
      <c r="D46" s="253">
        <f t="shared" si="4"/>
        <v>-3.4</v>
      </c>
      <c r="E46" s="25">
        <f>IFERROR(100/'Skjema total MA'!C46*C46,0)</f>
        <v>24.630021240863716</v>
      </c>
      <c r="F46" s="142"/>
      <c r="G46" s="31"/>
      <c r="H46" s="142"/>
      <c r="I46" s="142"/>
      <c r="J46" s="31"/>
      <c r="K46" s="31"/>
      <c r="L46" s="156"/>
      <c r="M46" s="156"/>
      <c r="N46" s="145"/>
      <c r="O46" s="145"/>
    </row>
    <row r="47" spans="1:15" s="3" customFormat="1" ht="15.75" x14ac:dyDescent="0.2">
      <c r="A47" s="36" t="s">
        <v>408</v>
      </c>
      <c r="B47" s="42">
        <v>268020.734</v>
      </c>
      <c r="C47" s="282">
        <v>283527.89199999999</v>
      </c>
      <c r="D47" s="253">
        <f>IF(B47=0, "    ---- ", IF(ABS(ROUND(100/B47*C47-100,1))&lt;999,ROUND(100/B47*C47-100,1),IF(ROUND(100/B47*C47-100,1)&gt;999,999,-999)))</f>
        <v>5.8</v>
      </c>
      <c r="E47" s="25">
        <f>IFERROR(100/'Skjema total MA'!C47*C47,0)</f>
        <v>18.675251230567628</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29097.071000000004</v>
      </c>
      <c r="C51" s="300">
        <v>6877.0959999999995</v>
      </c>
      <c r="D51" s="411">
        <f t="shared" si="4"/>
        <v>-76.400000000000006</v>
      </c>
      <c r="E51" s="11">
        <f>IFERROR(100/'Skjema total MA'!C51*C51,0)</f>
        <v>4.5296856846436402</v>
      </c>
      <c r="F51" s="142"/>
      <c r="G51" s="31"/>
      <c r="H51" s="142"/>
      <c r="I51" s="142"/>
      <c r="J51" s="31"/>
      <c r="K51" s="31"/>
      <c r="L51" s="156"/>
      <c r="M51" s="156"/>
      <c r="N51" s="145"/>
      <c r="O51" s="145"/>
    </row>
    <row r="52" spans="1:15" s="3" customFormat="1" ht="15.75" x14ac:dyDescent="0.2">
      <c r="A52" s="36" t="s">
        <v>407</v>
      </c>
      <c r="B52" s="278">
        <v>5043.08</v>
      </c>
      <c r="C52" s="279">
        <v>6877.0959999999995</v>
      </c>
      <c r="D52" s="253">
        <f t="shared" si="4"/>
        <v>36.4</v>
      </c>
      <c r="E52" s="25">
        <f>IFERROR(100/'Skjema total MA'!C52*C52,0)</f>
        <v>7.2793601382510804</v>
      </c>
      <c r="F52" s="142"/>
      <c r="G52" s="31"/>
      <c r="H52" s="142"/>
      <c r="I52" s="142"/>
      <c r="J52" s="31"/>
      <c r="K52" s="31"/>
      <c r="L52" s="156"/>
      <c r="M52" s="156"/>
      <c r="N52" s="145"/>
      <c r="O52" s="145"/>
    </row>
    <row r="53" spans="1:15" s="3" customFormat="1" ht="15.75" x14ac:dyDescent="0.2">
      <c r="A53" s="36" t="s">
        <v>408</v>
      </c>
      <c r="B53" s="278">
        <v>24053.991000000002</v>
      </c>
      <c r="C53" s="279">
        <v>0</v>
      </c>
      <c r="D53" s="253">
        <f t="shared" si="4"/>
        <v>-100</v>
      </c>
      <c r="E53" s="25">
        <f>IFERROR(100/'Skjema total MA'!C53*C53,0)</f>
        <v>0</v>
      </c>
      <c r="F53" s="142"/>
      <c r="G53" s="31"/>
      <c r="H53" s="142"/>
      <c r="I53" s="142"/>
      <c r="J53" s="31"/>
      <c r="K53" s="31"/>
      <c r="L53" s="156"/>
      <c r="M53" s="156"/>
      <c r="N53" s="145"/>
      <c r="O53" s="145"/>
    </row>
    <row r="54" spans="1:15" s="3" customFormat="1" ht="15.75" x14ac:dyDescent="0.2">
      <c r="A54" s="37" t="s">
        <v>410</v>
      </c>
      <c r="B54" s="299">
        <v>4243.3810000000003</v>
      </c>
      <c r="C54" s="300">
        <v>15422.191000000001</v>
      </c>
      <c r="D54" s="411">
        <f t="shared" si="4"/>
        <v>263.39999999999998</v>
      </c>
      <c r="E54" s="11">
        <f>IFERROR(100/'Skjema total MA'!C54*C54,0)</f>
        <v>13.744687000536388</v>
      </c>
      <c r="F54" s="142"/>
      <c r="G54" s="31"/>
      <c r="H54" s="142"/>
      <c r="I54" s="142"/>
      <c r="J54" s="31"/>
      <c r="K54" s="31"/>
      <c r="L54" s="156"/>
      <c r="M54" s="156"/>
      <c r="N54" s="145"/>
      <c r="O54" s="145"/>
    </row>
    <row r="55" spans="1:15" s="3" customFormat="1" ht="15.75" x14ac:dyDescent="0.2">
      <c r="A55" s="36" t="s">
        <v>407</v>
      </c>
      <c r="B55" s="278">
        <v>4243.3810000000003</v>
      </c>
      <c r="C55" s="279">
        <v>15422.191000000001</v>
      </c>
      <c r="D55" s="253">
        <f t="shared" si="4"/>
        <v>263.39999999999998</v>
      </c>
      <c r="E55" s="25">
        <f>IFERROR(100/'Skjema total MA'!C55*C55,0)</f>
        <v>13.744687000536388</v>
      </c>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4155683.2740000002</v>
      </c>
      <c r="C64" s="338">
        <v>2690447.9040000001</v>
      </c>
      <c r="D64" s="336">
        <f>IF(B64=0, "    ---- ", IF(ABS(ROUND(100/B64*C64-100,1))&lt;999,ROUND(100/B64*C64-100,1),IF(ROUND(100/B64*C64-100,1)&gt;999,999,-999)))</f>
        <v>-35.299999999999997</v>
      </c>
      <c r="E64" s="11">
        <f>IFERROR(100/'Skjema total MA'!C64*C64,0)</f>
        <v>39.637491098035191</v>
      </c>
      <c r="F64" s="337">
        <v>5898630.5430000005</v>
      </c>
      <c r="G64" s="337">
        <v>6288328.5490000006</v>
      </c>
      <c r="H64" s="336">
        <f>IF(F64=0, "    ---- ", IF(ABS(ROUND(100/F64*G64-100,1))&lt;999,ROUND(100/F64*G64-100,1),IF(ROUND(100/F64*G64-100,1)&gt;999,999,-999)))</f>
        <v>6.6</v>
      </c>
      <c r="I64" s="11">
        <f>IFERROR(100/'Skjema total MA'!F64*G64,0)</f>
        <v>31.944993648375451</v>
      </c>
      <c r="J64" s="298">
        <f t="shared" ref="J64:K66" si="5">SUM(B64,F64)</f>
        <v>10054313.817000002</v>
      </c>
      <c r="K64" s="305">
        <f t="shared" si="5"/>
        <v>8978776.4530000016</v>
      </c>
      <c r="L64" s="411">
        <f>IF(J64=0, "    ---- ", IF(ABS(ROUND(100/J64*K64-100,1))&lt;999,ROUND(100/J64*K64-100,1),IF(ROUND(100/J64*K64-100,1)&gt;999,999,-999)))</f>
        <v>-10.7</v>
      </c>
      <c r="M64" s="11">
        <f>IFERROR(100/'Skjema total MA'!I64*K64,0)</f>
        <v>33.917374888861836</v>
      </c>
      <c r="O64" s="145"/>
    </row>
    <row r="65" spans="1:15" x14ac:dyDescent="0.2">
      <c r="A65" s="402" t="s">
        <v>9</v>
      </c>
      <c r="B65" s="42">
        <v>4133505.8620000002</v>
      </c>
      <c r="C65" s="142">
        <v>2643296.3360000001</v>
      </c>
      <c r="D65" s="163">
        <f>IF(B65=0, "    ---- ", IF(ABS(ROUND(100/B65*C65-100,1))&lt;999,ROUND(100/B65*C65-100,1),IF(ROUND(100/B65*C65-100,1)&gt;999,999,-999)))</f>
        <v>-36.1</v>
      </c>
      <c r="E65" s="25">
        <f>IFERROR(100/'Skjema total MA'!C65*C65,0)</f>
        <v>40.960355678355135</v>
      </c>
      <c r="F65" s="232"/>
      <c r="G65" s="142"/>
      <c r="H65" s="163"/>
      <c r="I65" s="25"/>
      <c r="J65" s="282">
        <f t="shared" si="5"/>
        <v>4133505.8620000002</v>
      </c>
      <c r="K65" s="42">
        <f t="shared" si="5"/>
        <v>2643296.3360000001</v>
      </c>
      <c r="L65" s="253">
        <f>IF(J65=0, "    ---- ", IF(ABS(ROUND(100/J65*K65-100,1))&lt;999,ROUND(100/J65*K65-100,1),IF(ROUND(100/J65*K65-100,1)&gt;999,999,-999)))</f>
        <v>-36.1</v>
      </c>
      <c r="M65" s="25">
        <f>IFERROR(100/'Skjema total MA'!I65*K65,0)</f>
        <v>40.960355678355135</v>
      </c>
      <c r="O65" s="145"/>
    </row>
    <row r="66" spans="1:15" x14ac:dyDescent="0.2">
      <c r="A66" s="19" t="s">
        <v>10</v>
      </c>
      <c r="B66" s="284"/>
      <c r="C66" s="285"/>
      <c r="D66" s="163"/>
      <c r="E66" s="25"/>
      <c r="F66" s="284">
        <v>5839291.8940000003</v>
      </c>
      <c r="G66" s="285">
        <v>6198980.3660000004</v>
      </c>
      <c r="H66" s="163">
        <f>IF(F66=0, "    ---- ", IF(ABS(ROUND(100/F66*G66-100,1))&lt;999,ROUND(100/F66*G66-100,1),IF(ROUND(100/F66*G66-100,1)&gt;999,999,-999)))</f>
        <v>6.2</v>
      </c>
      <c r="I66" s="25">
        <f>IFERROR(100/'Skjema total MA'!F66*G66,0)</f>
        <v>31.851323458999929</v>
      </c>
      <c r="J66" s="282">
        <f t="shared" si="5"/>
        <v>5839291.8940000003</v>
      </c>
      <c r="K66" s="42">
        <f t="shared" si="5"/>
        <v>6198980.3660000004</v>
      </c>
      <c r="L66" s="253">
        <f>IF(J66=0, "    ---- ", IF(ABS(ROUND(100/J66*K66-100,1))&lt;999,ROUND(100/J66*K66-100,1),IF(ROUND(100/J66*K66-100,1)&gt;999,999,-999)))</f>
        <v>6.2</v>
      </c>
      <c r="M66" s="25">
        <f>IFERROR(100/'Skjema total MA'!I66*K66,0)</f>
        <v>31.627146794489907</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v>22177.412</v>
      </c>
      <c r="C73" s="142">
        <v>47151.567999999999</v>
      </c>
      <c r="D73" s="163">
        <f>IF(B73=0, "    ---- ", IF(ABS(ROUND(100/B73*C73-100,1))&lt;999,ROUND(100/B73*C73-100,1),IF(ROUND(100/B73*C73-100,1)&gt;999,999,-999)))</f>
        <v>112.6</v>
      </c>
      <c r="E73" s="25">
        <f>IFERROR(100/'Skjema total MA'!C73*C73,0)</f>
        <v>24.010422665150148</v>
      </c>
      <c r="F73" s="232">
        <v>59338.648999999998</v>
      </c>
      <c r="G73" s="142">
        <v>89348.183000000005</v>
      </c>
      <c r="H73" s="163">
        <f>IF(F73=0, "    ---- ", IF(ABS(ROUND(100/F73*G73-100,1))&lt;999,ROUND(100/F73*G73-100,1),IF(ROUND(100/F73*G73-100,1)&gt;999,999,-999)))</f>
        <v>50.6</v>
      </c>
      <c r="I73" s="25">
        <f>IFERROR(100/'Skjema total MA'!F73*G73,0)</f>
        <v>40.13375576333862</v>
      </c>
      <c r="J73" s="282">
        <f t="shared" ref="J73:K77" si="6">SUM(B73,F73)</f>
        <v>81516.061000000002</v>
      </c>
      <c r="K73" s="42">
        <f t="shared" si="6"/>
        <v>136499.75099999999</v>
      </c>
      <c r="L73" s="253">
        <f>IF(J73=0, "    ---- ", IF(ABS(ROUND(100/J73*K73-100,1))&lt;999,ROUND(100/J73*K73-100,1),IF(ROUND(100/J73*K73-100,1)&gt;999,999,-999)))</f>
        <v>67.5</v>
      </c>
      <c r="M73" s="25">
        <f>IFERROR(100/'Skjema total MA'!I73*K73,0)</f>
        <v>32.577070569735021</v>
      </c>
      <c r="N73" s="145"/>
      <c r="O73" s="145"/>
    </row>
    <row r="74" spans="1:15" s="3" customFormat="1" x14ac:dyDescent="0.2">
      <c r="A74" s="19" t="s">
        <v>369</v>
      </c>
      <c r="B74" s="232">
        <v>0</v>
      </c>
      <c r="C74" s="142">
        <v>713409.89099999995</v>
      </c>
      <c r="D74" s="163" t="str">
        <f>IF(B74=0, "    ---- ", IF(ABS(ROUND(100/B74*C74-100,1))&lt;999,ROUND(100/B74*C74-100,1),IF(ROUND(100/B74*C74-100,1)&gt;999,999,-999)))</f>
        <v xml:space="preserve">    ---- </v>
      </c>
      <c r="E74" s="25">
        <f>IFERROR(100/'Skjema total MA'!C75*C74,0)</f>
        <v>11.169051777114692</v>
      </c>
      <c r="F74" s="232"/>
      <c r="G74" s="142"/>
      <c r="H74" s="163"/>
      <c r="I74" s="25"/>
      <c r="J74" s="282">
        <f t="shared" si="6"/>
        <v>0</v>
      </c>
      <c r="K74" s="42">
        <f t="shared" si="6"/>
        <v>713409.89099999995</v>
      </c>
      <c r="L74" s="253" t="str">
        <f>IF(J74=0, "    ---- ", IF(ABS(ROUND(100/J74*K74-100,1))&lt;999,ROUND(100/J74*K74-100,1),IF(ROUND(100/J74*K74-100,1)&gt;999,999,-999)))</f>
        <v xml:space="preserve">    ---- </v>
      </c>
      <c r="M74" s="25">
        <f>IFERROR(100/'Skjema total MA'!I75*K74,0)</f>
        <v>2.7608843562301963</v>
      </c>
      <c r="N74" s="145"/>
      <c r="O74" s="145"/>
    </row>
    <row r="75" spans="1:15" ht="15.75" x14ac:dyDescent="0.2">
      <c r="A75" s="19" t="s">
        <v>413</v>
      </c>
      <c r="B75" s="232">
        <v>3894076.577</v>
      </c>
      <c r="C75" s="232">
        <v>2482720.148</v>
      </c>
      <c r="D75" s="163">
        <f>IF(B75=0, "    ---- ", IF(ABS(ROUND(100/B75*C75-100,1))&lt;999,ROUND(100/B75*C75-100,1),IF(ROUND(100/B75*C75-100,1)&gt;999,999,-999)))</f>
        <v>-36.200000000000003</v>
      </c>
      <c r="E75" s="25">
        <f>IFERROR(100/'Skjema total MA'!C75*C75,0)</f>
        <v>38.869141332241291</v>
      </c>
      <c r="F75" s="232">
        <v>5839291.8940000003</v>
      </c>
      <c r="G75" s="142">
        <v>6198980.3660000004</v>
      </c>
      <c r="H75" s="163">
        <f>IF(F75=0, "    ---- ", IF(ABS(ROUND(100/F75*G75-100,1))&lt;999,ROUND(100/F75*G75-100,1),IF(ROUND(100/F75*G75-100,1)&gt;999,999,-999)))</f>
        <v>6.2</v>
      </c>
      <c r="I75" s="25">
        <f>IFERROR(100/'Skjema total MA'!F75*G75,0)</f>
        <v>31.867229207440015</v>
      </c>
      <c r="J75" s="282">
        <f t="shared" si="6"/>
        <v>9733368.4710000008</v>
      </c>
      <c r="K75" s="42">
        <f t="shared" si="6"/>
        <v>8681700.5140000004</v>
      </c>
      <c r="L75" s="253">
        <f>IF(J75=0, "    ---- ", IF(ABS(ROUND(100/J75*K75-100,1))&lt;999,ROUND(100/J75*K75-100,1),IF(ROUND(100/J75*K75-100,1)&gt;999,999,-999)))</f>
        <v>-10.8</v>
      </c>
      <c r="M75" s="25">
        <f>IFERROR(100/'Skjema total MA'!I75*K75,0)</f>
        <v>33.598035907492431</v>
      </c>
      <c r="O75" s="145"/>
    </row>
    <row r="76" spans="1:15" x14ac:dyDescent="0.2">
      <c r="A76" s="19" t="s">
        <v>9</v>
      </c>
      <c r="B76" s="232">
        <v>3894076.577</v>
      </c>
      <c r="C76" s="142">
        <v>2482720.148</v>
      </c>
      <c r="D76" s="163">
        <f>IF(B76=0, "    ---- ", IF(ABS(ROUND(100/B76*C76-100,1))&lt;999,ROUND(100/B76*C76-100,1),IF(ROUND(100/B76*C76-100,1)&gt;999,999,-999)))</f>
        <v>-36.200000000000003</v>
      </c>
      <c r="E76" s="25">
        <f>IFERROR(100/'Skjema total MA'!C76*C76,0)</f>
        <v>39.707331022715344</v>
      </c>
      <c r="F76" s="232"/>
      <c r="G76" s="142"/>
      <c r="H76" s="163"/>
      <c r="I76" s="25"/>
      <c r="J76" s="282">
        <f t="shared" si="6"/>
        <v>3894076.577</v>
      </c>
      <c r="K76" s="42">
        <f t="shared" si="6"/>
        <v>2482720.148</v>
      </c>
      <c r="L76" s="253">
        <f>IF(J76=0, "    ---- ", IF(ABS(ROUND(100/J76*K76-100,1))&lt;999,ROUND(100/J76*K76-100,1),IF(ROUND(100/J76*K76-100,1)&gt;999,999,-999)))</f>
        <v>-36.200000000000003</v>
      </c>
      <c r="M76" s="25">
        <f>IFERROR(100/'Skjema total MA'!I76*K76,0)</f>
        <v>39.707331022715344</v>
      </c>
      <c r="O76" s="145"/>
    </row>
    <row r="77" spans="1:15" x14ac:dyDescent="0.2">
      <c r="A77" s="19" t="s">
        <v>10</v>
      </c>
      <c r="B77" s="284"/>
      <c r="C77" s="285"/>
      <c r="D77" s="163"/>
      <c r="E77" s="25"/>
      <c r="F77" s="284">
        <v>5839291.8940000003</v>
      </c>
      <c r="G77" s="285">
        <v>6198980.3660000004</v>
      </c>
      <c r="H77" s="163">
        <f>IF(F77=0, "    ---- ", IF(ABS(ROUND(100/F77*G77-100,1))&lt;999,ROUND(100/F77*G77-100,1),IF(ROUND(100/F77*G77-100,1)&gt;999,999,-999)))</f>
        <v>6.2</v>
      </c>
      <c r="I77" s="25">
        <f>IFERROR(100/'Skjema total MA'!F77*G77,0)</f>
        <v>31.867229207440015</v>
      </c>
      <c r="J77" s="282">
        <f t="shared" si="6"/>
        <v>5839291.8940000003</v>
      </c>
      <c r="K77" s="42">
        <f t="shared" si="6"/>
        <v>6198980.3660000004</v>
      </c>
      <c r="L77" s="253">
        <f>IF(J77=0, "    ---- ", IF(ABS(ROUND(100/J77*K77-100,1))&lt;999,ROUND(100/J77*K77-100,1),IF(ROUND(100/J77*K77-100,1)&gt;999,999,-999)))</f>
        <v>6.2</v>
      </c>
      <c r="M77" s="25">
        <f>IFERROR(100/'Skjema total MA'!I77*K77,0)</f>
        <v>31.64786643780894</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v>239429.285</v>
      </c>
      <c r="C84" s="142">
        <v>160576.18799999999</v>
      </c>
      <c r="D84" s="163">
        <f>IF(B84=0, "    ---- ", IF(ABS(ROUND(100/B84*C84-100,1))&lt;999,ROUND(100/B84*C84-100,1),IF(ROUND(100/B84*C84-100,1)&gt;999,999,-999)))</f>
        <v>-32.9</v>
      </c>
      <c r="E84" s="25">
        <f>IFERROR(100/'Skjema total MA'!C84*C84,0)</f>
        <v>78.762610698295191</v>
      </c>
      <c r="F84" s="232"/>
      <c r="G84" s="142"/>
      <c r="H84" s="163"/>
      <c r="I84" s="25"/>
      <c r="J84" s="282">
        <f t="shared" ref="J84:K87" si="7">SUM(B84,F84)</f>
        <v>239429.285</v>
      </c>
      <c r="K84" s="42">
        <f t="shared" si="7"/>
        <v>160576.18799999999</v>
      </c>
      <c r="L84" s="253">
        <f>IF(J84=0, "    ---- ", IF(ABS(ROUND(100/J84*K84-100,1))&lt;999,ROUND(100/J84*K84-100,1),IF(ROUND(100/J84*K84-100,1)&gt;999,999,-999)))</f>
        <v>-32.9</v>
      </c>
      <c r="M84" s="25">
        <f>IFERROR(100/'Skjema total MA'!I84*K84,0)</f>
        <v>75.180438983817737</v>
      </c>
      <c r="O84" s="145"/>
    </row>
    <row r="85" spans="1:15" ht="15.75" x14ac:dyDescent="0.2">
      <c r="A85" s="13" t="s">
        <v>398</v>
      </c>
      <c r="B85" s="338">
        <v>156677799.58200002</v>
      </c>
      <c r="C85" s="338">
        <v>157514321.986</v>
      </c>
      <c r="D85" s="168">
        <f>IF(B85=0, "    ---- ", IF(ABS(ROUND(100/B85*C85-100,1))&lt;999,ROUND(100/B85*C85-100,1),IF(ROUND(100/B85*C85-100,1)&gt;999,999,-999)))</f>
        <v>0.5</v>
      </c>
      <c r="E85" s="11">
        <f>IFERROR(100/'Skjema total MA'!C85*C85,0)</f>
        <v>41.928773156221858</v>
      </c>
      <c r="F85" s="337">
        <v>53211272.116000004</v>
      </c>
      <c r="G85" s="337">
        <v>65516276.423</v>
      </c>
      <c r="H85" s="168">
        <f>IF(F85=0, "    ---- ", IF(ABS(ROUND(100/F85*G85-100,1))&lt;999,ROUND(100/F85*G85-100,1),IF(ROUND(100/F85*G85-100,1)&gt;999,999,-999)))</f>
        <v>23.1</v>
      </c>
      <c r="I85" s="11">
        <f>IFERROR(100/'Skjema total MA'!F85*G85,0)</f>
        <v>31.119916185482598</v>
      </c>
      <c r="J85" s="298">
        <f t="shared" si="7"/>
        <v>209889071.69800001</v>
      </c>
      <c r="K85" s="234">
        <f t="shared" si="7"/>
        <v>223030598.40900001</v>
      </c>
      <c r="L85" s="411">
        <f>IF(J85=0, "    ---- ", IF(ABS(ROUND(100/J85*K85-100,1))&lt;999,ROUND(100/J85*K85-100,1),IF(ROUND(100/J85*K85-100,1)&gt;999,999,-999)))</f>
        <v>6.3</v>
      </c>
      <c r="M85" s="11">
        <f>IFERROR(100/'Skjema total MA'!I85*K85,0)</f>
        <v>38.046867191849401</v>
      </c>
      <c r="O85" s="145"/>
    </row>
    <row r="86" spans="1:15" x14ac:dyDescent="0.2">
      <c r="A86" s="19" t="s">
        <v>9</v>
      </c>
      <c r="B86" s="232">
        <v>156610845.67399999</v>
      </c>
      <c r="C86" s="142">
        <v>157410064.25652</v>
      </c>
      <c r="D86" s="163">
        <f>IF(B86=0, "    ---- ", IF(ABS(ROUND(100/B86*C86-100,1))&lt;999,ROUND(100/B86*C86-100,1),IF(ROUND(100/B86*C86-100,1)&gt;999,999,-999)))</f>
        <v>0.5</v>
      </c>
      <c r="E86" s="25">
        <f>IFERROR(100/'Skjema total MA'!C86*C86,0)</f>
        <v>42.219003740586153</v>
      </c>
      <c r="F86" s="232"/>
      <c r="G86" s="142"/>
      <c r="H86" s="163"/>
      <c r="I86" s="25"/>
      <c r="J86" s="282">
        <f t="shared" si="7"/>
        <v>156610845.67399999</v>
      </c>
      <c r="K86" s="42">
        <f t="shared" si="7"/>
        <v>157410064.25652</v>
      </c>
      <c r="L86" s="253">
        <f>IF(J86=0, "    ---- ", IF(ABS(ROUND(100/J86*K86-100,1))&lt;999,ROUND(100/J86*K86-100,1),IF(ROUND(100/J86*K86-100,1)&gt;999,999,-999)))</f>
        <v>0.5</v>
      </c>
      <c r="M86" s="25">
        <f>IFERROR(100/'Skjema total MA'!I86*K86,0)</f>
        <v>42.219003740586153</v>
      </c>
      <c r="O86" s="145"/>
    </row>
    <row r="87" spans="1:15" x14ac:dyDescent="0.2">
      <c r="A87" s="19" t="s">
        <v>10</v>
      </c>
      <c r="B87" s="232">
        <v>47537.087</v>
      </c>
      <c r="C87" s="142">
        <v>56404.258479999997</v>
      </c>
      <c r="D87" s="163">
        <f>IF(B87=0, "    ---- ", IF(ABS(ROUND(100/B87*C87-100,1))&lt;999,ROUND(100/B87*C87-100,1),IF(ROUND(100/B87*C87-100,1)&gt;999,999,-999)))</f>
        <v>18.7</v>
      </c>
      <c r="E87" s="25">
        <f>IFERROR(100/'Skjema total MA'!C87*C87,0)</f>
        <v>2.2543356530399974</v>
      </c>
      <c r="F87" s="232">
        <v>53151656.318000004</v>
      </c>
      <c r="G87" s="142">
        <v>65321293.166000001</v>
      </c>
      <c r="H87" s="163">
        <f>IF(F87=0, "    ---- ", IF(ABS(ROUND(100/F87*G87-100,1))&lt;999,ROUND(100/F87*G87-100,1),IF(ROUND(100/F87*G87-100,1)&gt;999,999,-999)))</f>
        <v>22.9</v>
      </c>
      <c r="I87" s="25">
        <f>IFERROR(100/'Skjema total MA'!F87*G87,0)</f>
        <v>31.118394530787192</v>
      </c>
      <c r="J87" s="282">
        <f t="shared" si="7"/>
        <v>53199193.405000001</v>
      </c>
      <c r="K87" s="42">
        <f t="shared" si="7"/>
        <v>65377697.424479999</v>
      </c>
      <c r="L87" s="253">
        <f>IF(J87=0, "    ---- ", IF(ABS(ROUND(100/J87*K87-100,1))&lt;999,ROUND(100/J87*K87-100,1),IF(ROUND(100/J87*K87-100,1)&gt;999,999,-999)))</f>
        <v>22.9</v>
      </c>
      <c r="M87" s="25">
        <f>IFERROR(100/'Skjema total MA'!I87*K87,0)</f>
        <v>30.778403713595203</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v>19416.821</v>
      </c>
      <c r="C94" s="142">
        <v>47853.470999999998</v>
      </c>
      <c r="D94" s="163">
        <f>IF(B94=0, "    ---- ", IF(ABS(ROUND(100/B94*C94-100,1))&lt;999,ROUND(100/B94*C94-100,1),IF(ROUND(100/B94*C94-100,1)&gt;999,999,-999)))</f>
        <v>146.5</v>
      </c>
      <c r="E94" s="25">
        <f>IFERROR(100/'Skjema total MA'!C94*C94,0)</f>
        <v>14.61501314448526</v>
      </c>
      <c r="F94" s="232">
        <v>59615.798000000003</v>
      </c>
      <c r="G94" s="142">
        <v>194983.25700000001</v>
      </c>
      <c r="H94" s="163">
        <f>IF(F94=0, "    ---- ", IF(ABS(ROUND(100/F94*G94-100,1))&lt;999,ROUND(100/F94*G94-100,1),IF(ROUND(100/F94*G94-100,1)&gt;999,999,-999)))</f>
        <v>227.1</v>
      </c>
      <c r="I94" s="25">
        <f>IFERROR(100/'Skjema total MA'!F94*G94,0)</f>
        <v>31.638200608756382</v>
      </c>
      <c r="J94" s="282">
        <f t="shared" ref="J94:K98" si="8">SUM(B94,F94)</f>
        <v>79032.619000000006</v>
      </c>
      <c r="K94" s="42">
        <f t="shared" si="8"/>
        <v>242836.728</v>
      </c>
      <c r="L94" s="253">
        <f>IF(J94=0, "    ---- ", IF(ABS(ROUND(100/J94*K94-100,1))&lt;999,ROUND(100/J94*K94-100,1),IF(ROUND(100/J94*K94-100,1)&gt;999,999,-999)))</f>
        <v>207.3</v>
      </c>
      <c r="M94" s="25">
        <f>IFERROR(100/'Skjema total MA'!I94*K94,0)</f>
        <v>25.731932617810273</v>
      </c>
      <c r="O94" s="145"/>
    </row>
    <row r="95" spans="1:15" x14ac:dyDescent="0.2">
      <c r="A95" s="19" t="s">
        <v>369</v>
      </c>
      <c r="B95" s="232">
        <v>0</v>
      </c>
      <c r="C95" s="142">
        <v>3569523.352</v>
      </c>
      <c r="D95" s="163" t="str">
        <f>IF(B95=0, "    ---- ", IF(ABS(ROUND(100/B95*C95-100,1))&lt;999,ROUND(100/B95*C95-100,1),IF(ROUND(100/B95*C95-100,1)&gt;999,999,-999)))</f>
        <v xml:space="preserve">    ---- </v>
      </c>
      <c r="E95" s="25">
        <f>IFERROR(100/'Skjema total MA'!C96*C95,0)</f>
        <v>0.9635433540764633</v>
      </c>
      <c r="F95" s="232"/>
      <c r="G95" s="142"/>
      <c r="H95" s="163"/>
      <c r="I95" s="25"/>
      <c r="J95" s="282">
        <f t="shared" si="8"/>
        <v>0</v>
      </c>
      <c r="K95" s="42">
        <f t="shared" si="8"/>
        <v>3569523.352</v>
      </c>
      <c r="L95" s="253" t="str">
        <f>IF(J95=0, "    ---- ", IF(ABS(ROUND(100/J95*K95-100,1))&lt;999,ROUND(100/J95*K95-100,1),IF(ROUND(100/J95*K95-100,1)&gt;999,999,-999)))</f>
        <v xml:space="preserve">    ---- </v>
      </c>
      <c r="M95" s="25">
        <f>IFERROR(100/'Skjema total MA'!I96*K95,0)</f>
        <v>0.61562548490326163</v>
      </c>
      <c r="O95" s="145"/>
    </row>
    <row r="96" spans="1:15" ht="15.75" x14ac:dyDescent="0.2">
      <c r="A96" s="19" t="s">
        <v>413</v>
      </c>
      <c r="B96" s="232">
        <v>153152369.20500001</v>
      </c>
      <c r="C96" s="232">
        <v>153998107.36700001</v>
      </c>
      <c r="D96" s="163">
        <f>IF(B96=0, "    ---- ", IF(ABS(ROUND(100/B96*C96-100,1))&lt;999,ROUND(100/B96*C96-100,1),IF(ROUND(100/B96*C96-100,1)&gt;999,999,-999)))</f>
        <v>0.6</v>
      </c>
      <c r="E96" s="25">
        <f>IFERROR(100/'Skjema total MA'!C96*C96,0)</f>
        <v>41.569654618084293</v>
      </c>
      <c r="F96" s="284">
        <v>53151656.318000004</v>
      </c>
      <c r="G96" s="284">
        <v>65321293.166000001</v>
      </c>
      <c r="H96" s="163">
        <f>IF(F96=0, "    ---- ", IF(ABS(ROUND(100/F96*G96-100,1))&lt;999,ROUND(100/F96*G96-100,1),IF(ROUND(100/F96*G96-100,1)&gt;999,999,-999)))</f>
        <v>22.9</v>
      </c>
      <c r="I96" s="25">
        <f>IFERROR(100/'Skjema total MA'!F96*G96,0)</f>
        <v>31.200076706926005</v>
      </c>
      <c r="J96" s="282">
        <f t="shared" si="8"/>
        <v>206304025.523</v>
      </c>
      <c r="K96" s="42">
        <f t="shared" si="8"/>
        <v>219319400.53300002</v>
      </c>
      <c r="L96" s="253">
        <f>IF(J96=0, "    ---- ", IF(ABS(ROUND(100/J96*K96-100,1))&lt;999,ROUND(100/J96*K96-100,1),IF(ROUND(100/J96*K96-100,1)&gt;999,999,-999)))</f>
        <v>6.3</v>
      </c>
      <c r="M96" s="25">
        <f>IFERROR(100/'Skjema total MA'!I96*K96,0)</f>
        <v>37.825389831437867</v>
      </c>
      <c r="O96" s="145"/>
    </row>
    <row r="97" spans="1:15" x14ac:dyDescent="0.2">
      <c r="A97" s="19" t="s">
        <v>9</v>
      </c>
      <c r="B97" s="284">
        <v>153104832.118</v>
      </c>
      <c r="C97" s="285">
        <v>153941703.10852</v>
      </c>
      <c r="D97" s="163">
        <f>IF(B97=0, "    ---- ", IF(ABS(ROUND(100/B97*C97-100,1))&lt;999,ROUND(100/B97*C97-100,1),IF(ROUND(100/B97*C97-100,1)&gt;999,999,-999)))</f>
        <v>0.5</v>
      </c>
      <c r="E97" s="25">
        <f>IFERROR(100/'Skjema total MA'!C97*C97,0)</f>
        <v>41.836991747492135</v>
      </c>
      <c r="F97" s="232"/>
      <c r="G97" s="142"/>
      <c r="H97" s="163"/>
      <c r="I97" s="25"/>
      <c r="J97" s="282">
        <f t="shared" si="8"/>
        <v>153104832.118</v>
      </c>
      <c r="K97" s="42">
        <f t="shared" si="8"/>
        <v>153941703.10852</v>
      </c>
      <c r="L97" s="253">
        <f>IF(J97=0, "    ---- ", IF(ABS(ROUND(100/J97*K97-100,1))&lt;999,ROUND(100/J97*K97-100,1),IF(ROUND(100/J97*K97-100,1)&gt;999,999,-999)))</f>
        <v>0.5</v>
      </c>
      <c r="M97" s="25">
        <f>IFERROR(100/'Skjema total MA'!I97*K97,0)</f>
        <v>41.836991747492135</v>
      </c>
      <c r="O97" s="145"/>
    </row>
    <row r="98" spans="1:15" x14ac:dyDescent="0.2">
      <c r="A98" s="19" t="s">
        <v>10</v>
      </c>
      <c r="B98" s="284">
        <v>47537.087</v>
      </c>
      <c r="C98" s="285">
        <v>56404.258479999997</v>
      </c>
      <c r="D98" s="163">
        <f>IF(B98=0, "    ---- ", IF(ABS(ROUND(100/B98*C98-100,1))&lt;999,ROUND(100/B98*C98-100,1),IF(ROUND(100/B98*C98-100,1)&gt;999,999,-999)))</f>
        <v>18.7</v>
      </c>
      <c r="E98" s="25">
        <f>IFERROR(100/'Skjema total MA'!C98*C98,0)</f>
        <v>2.2543356530399974</v>
      </c>
      <c r="F98" s="232">
        <v>53151656.318000004</v>
      </c>
      <c r="G98" s="232">
        <v>65321293.166000001</v>
      </c>
      <c r="H98" s="163">
        <f>IF(F98=0, "    ---- ", IF(ABS(ROUND(100/F98*G98-100,1))&lt;999,ROUND(100/F98*G98-100,1),IF(ROUND(100/F98*G98-100,1)&gt;999,999,-999)))</f>
        <v>22.9</v>
      </c>
      <c r="I98" s="25">
        <f>IFERROR(100/'Skjema total MA'!F98*G98,0)</f>
        <v>31.200076706926005</v>
      </c>
      <c r="J98" s="282">
        <f t="shared" si="8"/>
        <v>53199193.405000001</v>
      </c>
      <c r="K98" s="42">
        <f t="shared" si="8"/>
        <v>65377697.424479999</v>
      </c>
      <c r="L98" s="253">
        <f>IF(J98=0, "    ---- ", IF(ABS(ROUND(100/J98*K98-100,1))&lt;999,ROUND(100/J98*K98-100,1),IF(ROUND(100/J98*K98-100,1)&gt;999,999,-999)))</f>
        <v>22.9</v>
      </c>
      <c r="M98" s="25">
        <f>IFERROR(100/'Skjema total MA'!I98*K98,0)</f>
        <v>30.858239359536373</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v>3506013.5559999999</v>
      </c>
      <c r="C105" s="142">
        <v>3468361.148</v>
      </c>
      <c r="D105" s="163">
        <f>IF(B105=0, "    ---- ", IF(ABS(ROUND(100/B105*C105-100,1))&lt;999,ROUND(100/B105*C105-100,1),IF(ROUND(100/B105*C105-100,1)&gt;999,999,-999)))</f>
        <v>-1.1000000000000001</v>
      </c>
      <c r="E105" s="25">
        <f>IFERROR(100/'Skjema total MA'!C105*C105,0)</f>
        <v>70.98897499579644</v>
      </c>
      <c r="F105" s="232"/>
      <c r="G105" s="142"/>
      <c r="H105" s="163"/>
      <c r="I105" s="25"/>
      <c r="J105" s="282">
        <f t="shared" ref="J105:K109" si="9">SUM(B105,F105)</f>
        <v>3506013.5559999999</v>
      </c>
      <c r="K105" s="42">
        <f t="shared" si="9"/>
        <v>3468361.148</v>
      </c>
      <c r="L105" s="253">
        <f>IF(J105=0, "    ---- ", IF(ABS(ROUND(100/J105*K105-100,1))&lt;999,ROUND(100/J105*K105-100,1),IF(ROUND(100/J105*K105-100,1)&gt;999,999,-999)))</f>
        <v>-1.1000000000000001</v>
      </c>
      <c r="M105" s="25">
        <f>IFERROR(100/'Skjema total MA'!I105*K105,0)</f>
        <v>63.811454137942569</v>
      </c>
      <c r="O105" s="145"/>
    </row>
    <row r="106" spans="1:15" ht="15.75" x14ac:dyDescent="0.2">
      <c r="A106" s="19" t="s">
        <v>416</v>
      </c>
      <c r="B106" s="232">
        <v>111929003.027</v>
      </c>
      <c r="C106" s="232">
        <v>126439201.397</v>
      </c>
      <c r="D106" s="163">
        <f>IF(B106=0, "    ---- ", IF(ABS(ROUND(100/B106*C106-100,1))&lt;999,ROUND(100/B106*C106-100,1),IF(ROUND(100/B106*C106-100,1)&gt;999,999,-999)))</f>
        <v>13</v>
      </c>
      <c r="E106" s="25">
        <f>IFERROR(100/'Skjema total MA'!C106*C106,0)</f>
        <v>42.471163034293063</v>
      </c>
      <c r="F106" s="232">
        <v>5174373.5420000004</v>
      </c>
      <c r="G106" s="232">
        <v>6395342.0559999999</v>
      </c>
      <c r="H106" s="163">
        <f>IF(F106=0, "    ---- ", IF(ABS(ROUND(100/F106*G106-100,1))&lt;999,ROUND(100/F106*G106-100,1),IF(ROUND(100/F106*G106-100,1)&gt;999,999,-999)))</f>
        <v>23.6</v>
      </c>
      <c r="I106" s="25">
        <f>IFERROR(100/'Skjema total MA'!F106*G106,0)</f>
        <v>93.428429443027383</v>
      </c>
      <c r="J106" s="282">
        <f t="shared" si="9"/>
        <v>117103376.56899999</v>
      </c>
      <c r="K106" s="42">
        <f t="shared" si="9"/>
        <v>132834543.45299999</v>
      </c>
      <c r="L106" s="253">
        <f>IF(J106=0, "    ---- ", IF(ABS(ROUND(100/J106*K106-100,1))&lt;999,ROUND(100/J106*K106-100,1),IF(ROUND(100/J106*K106-100,1)&gt;999,999,-999)))</f>
        <v>13.4</v>
      </c>
      <c r="M106" s="25">
        <f>IFERROR(100/'Skjema total MA'!I106*K106,0)</f>
        <v>43.61649284803066</v>
      </c>
      <c r="O106" s="145"/>
    </row>
    <row r="107" spans="1:15" ht="15.75" x14ac:dyDescent="0.2">
      <c r="A107" s="19" t="s">
        <v>414</v>
      </c>
      <c r="B107" s="232"/>
      <c r="C107" s="232"/>
      <c r="D107" s="163"/>
      <c r="E107" s="25"/>
      <c r="F107" s="232">
        <v>15666058.888</v>
      </c>
      <c r="G107" s="232">
        <v>20312692.802000001</v>
      </c>
      <c r="H107" s="163">
        <f>IF(F107=0, "    ---- ", IF(ABS(ROUND(100/F107*G107-100,1))&lt;999,ROUND(100/F107*G107-100,1),IF(ROUND(100/F107*G107-100,1)&gt;999,999,-999)))</f>
        <v>29.7</v>
      </c>
      <c r="I107" s="25">
        <f>IFERROR(100/'Skjema total MA'!F107*G107,0)</f>
        <v>30.281009621571069</v>
      </c>
      <c r="J107" s="282">
        <f t="shared" si="9"/>
        <v>15666058.888</v>
      </c>
      <c r="K107" s="42">
        <f t="shared" si="9"/>
        <v>20312692.802000001</v>
      </c>
      <c r="L107" s="253">
        <f>IF(J107=0, "    ---- ", IF(ABS(ROUND(100/J107*K107-100,1))&lt;999,ROUND(100/J107*K107-100,1),IF(ROUND(100/J107*K107-100,1)&gt;999,999,-999)))</f>
        <v>29.7</v>
      </c>
      <c r="M107" s="25">
        <f>IFERROR(100/'Skjema total MA'!I107*K107,0)</f>
        <v>29.937652007604875</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60839.684999999998</v>
      </c>
      <c r="C109" s="156">
        <v>15211.541999999999</v>
      </c>
      <c r="D109" s="168">
        <f>IF(B109=0, "    ---- ", IF(ABS(ROUND(100/B109*C109-100,1))&lt;999,ROUND(100/B109*C109-100,1),IF(ROUND(100/B109*C109-100,1)&gt;999,999,-999)))</f>
        <v>-75</v>
      </c>
      <c r="E109" s="11">
        <f>IFERROR(100/'Skjema total MA'!C109*C109,0)</f>
        <v>3.2680972376027855</v>
      </c>
      <c r="F109" s="297">
        <v>298241.71999999997</v>
      </c>
      <c r="G109" s="156">
        <v>453025.51699999999</v>
      </c>
      <c r="H109" s="168">
        <f>IF(F109=0, "    ---- ", IF(ABS(ROUND(100/F109*G109-100,1))&lt;999,ROUND(100/F109*G109-100,1),IF(ROUND(100/F109*G109-100,1)&gt;999,999,-999)))</f>
        <v>51.9</v>
      </c>
      <c r="I109" s="11">
        <f>IFERROR(100/'Skjema total MA'!F109*G109,0)</f>
        <v>5.5128454754796667</v>
      </c>
      <c r="J109" s="298">
        <f t="shared" si="9"/>
        <v>359081.40499999997</v>
      </c>
      <c r="K109" s="234">
        <f t="shared" si="9"/>
        <v>468237.05900000001</v>
      </c>
      <c r="L109" s="411">
        <f>IF(J109=0, "    ---- ", IF(ABS(ROUND(100/J109*K109-100,1))&lt;999,ROUND(100/J109*K109-100,1),IF(ROUND(100/J109*K109-100,1)&gt;999,999,-999)))</f>
        <v>30.4</v>
      </c>
      <c r="M109" s="11">
        <f>IFERROR(100/'Skjema total MA'!I109*K109,0)</f>
        <v>5.3925161231029337</v>
      </c>
      <c r="O109" s="145"/>
    </row>
    <row r="110" spans="1:15" x14ac:dyDescent="0.2">
      <c r="A110" s="19" t="s">
        <v>9</v>
      </c>
      <c r="B110" s="232">
        <v>60839.684999999998</v>
      </c>
      <c r="C110" s="142">
        <v>15211.541999999999</v>
      </c>
      <c r="D110" s="163">
        <f t="shared" ref="D110:D123" si="10">IF(B110=0, "    ---- ", IF(ABS(ROUND(100/B110*C110-100,1))&lt;999,ROUND(100/B110*C110-100,1),IF(ROUND(100/B110*C110-100,1)&gt;999,999,-999)))</f>
        <v>-75</v>
      </c>
      <c r="E110" s="25">
        <f>IFERROR(100/'Skjema total MA'!C110*C110,0)</f>
        <v>3.4539677675042086</v>
      </c>
      <c r="F110" s="232"/>
      <c r="G110" s="142"/>
      <c r="H110" s="163"/>
      <c r="I110" s="25"/>
      <c r="J110" s="282">
        <f t="shared" ref="J110:K123" si="11">SUM(B110,F110)</f>
        <v>60839.684999999998</v>
      </c>
      <c r="K110" s="42">
        <f t="shared" si="11"/>
        <v>15211.541999999999</v>
      </c>
      <c r="L110" s="253">
        <f t="shared" ref="L110:L123" si="12">IF(J110=0, "    ---- ", IF(ABS(ROUND(100/J110*K110-100,1))&lt;999,ROUND(100/J110*K110-100,1),IF(ROUND(100/J110*K110-100,1)&gt;999,999,-999)))</f>
        <v>-75</v>
      </c>
      <c r="M110" s="25">
        <f>IFERROR(100/'Skjema total MA'!I110*K110,0)</f>
        <v>3.4539677675042086</v>
      </c>
      <c r="O110" s="145"/>
    </row>
    <row r="111" spans="1:15" x14ac:dyDescent="0.2">
      <c r="A111" s="19" t="s">
        <v>10</v>
      </c>
      <c r="B111" s="232"/>
      <c r="C111" s="142"/>
      <c r="D111" s="163"/>
      <c r="E111" s="25"/>
      <c r="F111" s="232">
        <v>298241.71999999997</v>
      </c>
      <c r="G111" s="142">
        <v>453025.51699999999</v>
      </c>
      <c r="H111" s="163">
        <f t="shared" ref="H111:H123" si="13">IF(F111=0, "    ---- ", IF(ABS(ROUND(100/F111*G111-100,1))&lt;999,ROUND(100/F111*G111-100,1),IF(ROUND(100/F111*G111-100,1)&gt;999,999,-999)))</f>
        <v>51.9</v>
      </c>
      <c r="I111" s="25">
        <f>IFERROR(100/'Skjema total MA'!F111*G111,0)</f>
        <v>5.5128454754796667</v>
      </c>
      <c r="J111" s="282">
        <f t="shared" si="11"/>
        <v>298241.71999999997</v>
      </c>
      <c r="K111" s="42">
        <f t="shared" si="11"/>
        <v>453025.51699999999</v>
      </c>
      <c r="L111" s="253">
        <f t="shared" si="12"/>
        <v>51.9</v>
      </c>
      <c r="M111" s="25">
        <f>IFERROR(100/'Skjema total MA'!I111*K111,0)</f>
        <v>5.5110402519786721</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4706.3819999999996</v>
      </c>
      <c r="C114" s="232">
        <v>9329.2610000000004</v>
      </c>
      <c r="D114" s="163">
        <f t="shared" si="10"/>
        <v>98.2</v>
      </c>
      <c r="E114" s="25">
        <f>IFERROR(100/'Skjema total MA'!C114*C114,0)</f>
        <v>6.4532214832060415</v>
      </c>
      <c r="F114" s="232"/>
      <c r="G114" s="232"/>
      <c r="H114" s="163"/>
      <c r="I114" s="25"/>
      <c r="J114" s="282">
        <f t="shared" si="11"/>
        <v>4706.3819999999996</v>
      </c>
      <c r="K114" s="42">
        <f t="shared" si="11"/>
        <v>9329.2610000000004</v>
      </c>
      <c r="L114" s="253">
        <f t="shared" si="12"/>
        <v>98.2</v>
      </c>
      <c r="M114" s="25">
        <f>IFERROR(100/'Skjema total MA'!I114*K114,0)</f>
        <v>5.8204806176851394</v>
      </c>
      <c r="O114" s="145"/>
    </row>
    <row r="115" spans="1:15" ht="15.75" x14ac:dyDescent="0.2">
      <c r="A115" s="19" t="s">
        <v>414</v>
      </c>
      <c r="B115" s="232"/>
      <c r="C115" s="232"/>
      <c r="D115" s="163"/>
      <c r="E115" s="25"/>
      <c r="F115" s="232">
        <v>170687.19099999999</v>
      </c>
      <c r="G115" s="232">
        <v>283070.69099999999</v>
      </c>
      <c r="H115" s="163">
        <f t="shared" si="13"/>
        <v>65.8</v>
      </c>
      <c r="I115" s="25">
        <f>IFERROR(100/'Skjema total MA'!F115*G115,0)</f>
        <v>19.797959385084347</v>
      </c>
      <c r="J115" s="282">
        <f t="shared" si="11"/>
        <v>170687.19099999999</v>
      </c>
      <c r="K115" s="42">
        <f t="shared" si="11"/>
        <v>283070.69099999999</v>
      </c>
      <c r="L115" s="253">
        <f t="shared" si="12"/>
        <v>65.8</v>
      </c>
      <c r="M115" s="25">
        <f>IFERROR(100/'Skjema total MA'!I115*K115,0)</f>
        <v>19.797959385084347</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208392.212</v>
      </c>
      <c r="C117" s="156">
        <v>130160.15399999999</v>
      </c>
      <c r="D117" s="168">
        <f t="shared" si="10"/>
        <v>-37.5</v>
      </c>
      <c r="E117" s="11">
        <f>IFERROR(100/'Skjema total MA'!C117*C117,0)</f>
        <v>34.511952416979554</v>
      </c>
      <c r="F117" s="297">
        <v>1153884.852</v>
      </c>
      <c r="G117" s="156">
        <v>2899771.6719999998</v>
      </c>
      <c r="H117" s="168">
        <f t="shared" si="13"/>
        <v>151.30000000000001</v>
      </c>
      <c r="I117" s="11">
        <f>IFERROR(100/'Skjema total MA'!F117*G117,0)</f>
        <v>35.394184743783065</v>
      </c>
      <c r="J117" s="298">
        <f t="shared" si="11"/>
        <v>1362277.064</v>
      </c>
      <c r="K117" s="234">
        <f t="shared" si="11"/>
        <v>3029931.8259999999</v>
      </c>
      <c r="L117" s="411">
        <f t="shared" si="12"/>
        <v>122.4</v>
      </c>
      <c r="M117" s="11">
        <f>IFERROR(100/'Skjema total MA'!I117*K117,0)</f>
        <v>35.355359526673304</v>
      </c>
      <c r="O117" s="145"/>
    </row>
    <row r="118" spans="1:15" x14ac:dyDescent="0.2">
      <c r="A118" s="19" t="s">
        <v>9</v>
      </c>
      <c r="B118" s="232">
        <v>208392.212</v>
      </c>
      <c r="C118" s="142">
        <v>130160.15399999999</v>
      </c>
      <c r="D118" s="163">
        <f t="shared" si="10"/>
        <v>-37.5</v>
      </c>
      <c r="E118" s="25">
        <f>IFERROR(100/'Skjema total MA'!C118*C118,0)</f>
        <v>37.527620638489296</v>
      </c>
      <c r="F118" s="232"/>
      <c r="G118" s="142"/>
      <c r="H118" s="163"/>
      <c r="I118" s="25"/>
      <c r="J118" s="282">
        <f t="shared" si="11"/>
        <v>208392.212</v>
      </c>
      <c r="K118" s="42">
        <f t="shared" si="11"/>
        <v>130160.15399999999</v>
      </c>
      <c r="L118" s="253">
        <f t="shared" si="12"/>
        <v>-37.5</v>
      </c>
      <c r="M118" s="25">
        <f>IFERROR(100/'Skjema total MA'!I118*K118,0)</f>
        <v>37.527620638489296</v>
      </c>
      <c r="O118" s="145"/>
    </row>
    <row r="119" spans="1:15" x14ac:dyDescent="0.2">
      <c r="A119" s="19" t="s">
        <v>10</v>
      </c>
      <c r="B119" s="232"/>
      <c r="C119" s="142"/>
      <c r="D119" s="163"/>
      <c r="E119" s="25"/>
      <c r="F119" s="232">
        <v>1153884.852</v>
      </c>
      <c r="G119" s="142">
        <v>2899771.6719999998</v>
      </c>
      <c r="H119" s="163">
        <f t="shared" si="13"/>
        <v>151.30000000000001</v>
      </c>
      <c r="I119" s="25">
        <f>IFERROR(100/'Skjema total MA'!F119*G119,0)</f>
        <v>35.394184743783065</v>
      </c>
      <c r="J119" s="282">
        <f t="shared" si="11"/>
        <v>1153884.852</v>
      </c>
      <c r="K119" s="42">
        <f t="shared" si="11"/>
        <v>2899771.6719999998</v>
      </c>
      <c r="L119" s="253">
        <f t="shared" si="12"/>
        <v>151.30000000000001</v>
      </c>
      <c r="M119" s="25">
        <f>IFERROR(100/'Skjema total MA'!I119*K119,0)</f>
        <v>35.294211556728555</v>
      </c>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v>16273.948</v>
      </c>
      <c r="C122" s="232">
        <v>4128.9449999999997</v>
      </c>
      <c r="D122" s="163">
        <f t="shared" si="10"/>
        <v>-74.599999999999994</v>
      </c>
      <c r="E122" s="25">
        <f>IFERROR(100/'Skjema total MA'!C122*C122,0)</f>
        <v>8.6958347314616926</v>
      </c>
      <c r="F122" s="232">
        <v>30429.634999999998</v>
      </c>
      <c r="G122" s="232">
        <v>12070.852000000001</v>
      </c>
      <c r="H122" s="163">
        <f t="shared" si="13"/>
        <v>-60.3</v>
      </c>
      <c r="I122" s="25">
        <f>IFERROR(100/'Skjema total MA'!F122*G122,0)</f>
        <v>93.390254815157988</v>
      </c>
      <c r="J122" s="282">
        <f t="shared" si="11"/>
        <v>46703.582999999999</v>
      </c>
      <c r="K122" s="42">
        <f t="shared" si="11"/>
        <v>16199.797</v>
      </c>
      <c r="L122" s="253">
        <f t="shared" si="12"/>
        <v>-65.3</v>
      </c>
      <c r="M122" s="25">
        <f>IFERROR(100/'Skjema total MA'!I122*K122,0)</f>
        <v>26.817728560232606</v>
      </c>
      <c r="O122" s="145"/>
    </row>
    <row r="123" spans="1:15" ht="15.75" x14ac:dyDescent="0.2">
      <c r="A123" s="19" t="s">
        <v>414</v>
      </c>
      <c r="B123" s="232">
        <v>2.3330000000000002</v>
      </c>
      <c r="C123" s="232">
        <v>2.1040000000000001</v>
      </c>
      <c r="D123" s="163">
        <f t="shared" si="10"/>
        <v>-9.8000000000000007</v>
      </c>
      <c r="E123" s="25">
        <f>IFERROR(100/'Skjema total MA'!C123*C123,0)</f>
        <v>5.5225777954759254E-2</v>
      </c>
      <c r="F123" s="232">
        <v>167663.50700000001</v>
      </c>
      <c r="G123" s="232">
        <v>380821.717</v>
      </c>
      <c r="H123" s="163">
        <f t="shared" si="13"/>
        <v>127.1</v>
      </c>
      <c r="I123" s="25">
        <f>IFERROR(100/'Skjema total MA'!F123*G123,0)</f>
        <v>25.668351808540649</v>
      </c>
      <c r="J123" s="282">
        <f t="shared" si="11"/>
        <v>167665.84000000003</v>
      </c>
      <c r="K123" s="42">
        <f t="shared" si="11"/>
        <v>380823.821</v>
      </c>
      <c r="L123" s="253">
        <f t="shared" si="12"/>
        <v>127.1</v>
      </c>
      <c r="M123" s="25">
        <f>IFERROR(100/'Skjema total MA'!I123*K123,0)</f>
        <v>25.60274801469836</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v>196515.87700000001</v>
      </c>
      <c r="C132" s="298">
        <v>147814.64199999999</v>
      </c>
      <c r="D132" s="336">
        <f>IF(B132=0, "    ---- ", IF(ABS(ROUND(100/B132*C132-100,1))&lt;999,ROUND(100/B132*C132-100,1),IF(ROUND(100/B132*C132-100,1)&gt;999,999,-999)))</f>
        <v>-24.8</v>
      </c>
      <c r="E132" s="11">
        <f>IFERROR(100/'Skjema total MA'!C132*C132,0)</f>
        <v>0.54809609540829052</v>
      </c>
      <c r="F132" s="305"/>
      <c r="G132" s="306"/>
      <c r="H132" s="414"/>
      <c r="I132" s="22"/>
      <c r="J132" s="307">
        <f t="shared" ref="J132:K135" si="14">SUM(B132,F132)</f>
        <v>196515.87700000001</v>
      </c>
      <c r="K132" s="307">
        <f t="shared" si="14"/>
        <v>147814.64199999999</v>
      </c>
      <c r="L132" s="410">
        <f>IF(J132=0, "    ---- ", IF(ABS(ROUND(100/J132*K132-100,1))&lt;999,ROUND(100/J132*K132-100,1),IF(ROUND(100/J132*K132-100,1)&gt;999,999,-999)))</f>
        <v>-24.8</v>
      </c>
      <c r="M132" s="11">
        <f>IFERROR(100/'Skjema total MA'!I132*K132,0)</f>
        <v>0.54637642100466777</v>
      </c>
      <c r="N132" s="145"/>
      <c r="O132" s="145"/>
    </row>
    <row r="133" spans="1:15" s="3" customFormat="1" ht="15.75" x14ac:dyDescent="0.2">
      <c r="A133" s="13" t="s">
        <v>418</v>
      </c>
      <c r="B133" s="234">
        <v>2769128.47</v>
      </c>
      <c r="C133" s="298">
        <v>2780424.179</v>
      </c>
      <c r="D133" s="168">
        <f>IF(B133=0, "    ---- ", IF(ABS(ROUND(100/B133*C133-100,1))&lt;999,ROUND(100/B133*C133-100,1),IF(ROUND(100/B133*C133-100,1)&gt;999,999,-999)))</f>
        <v>0.4</v>
      </c>
      <c r="E133" s="11">
        <f>IFERROR(100/'Skjema total MA'!C133*C133,0)</f>
        <v>0.54404307392013507</v>
      </c>
      <c r="F133" s="234"/>
      <c r="G133" s="298"/>
      <c r="H133" s="415"/>
      <c r="I133" s="22"/>
      <c r="J133" s="297">
        <f t="shared" si="14"/>
        <v>2769128.47</v>
      </c>
      <c r="K133" s="297">
        <f t="shared" si="14"/>
        <v>2780424.179</v>
      </c>
      <c r="L133" s="411">
        <f>IF(J133=0, "    ---- ", IF(ABS(ROUND(100/J133*K133-100,1))&lt;999,ROUND(100/J133*K133-100,1),IF(ROUND(100/J133*K133-100,1)&gt;999,999,-999)))</f>
        <v>0.4</v>
      </c>
      <c r="M133" s="11">
        <f>IFERROR(100/'Skjema total MA'!I133*K133,0)</f>
        <v>0.5415737796145228</v>
      </c>
      <c r="N133" s="145"/>
      <c r="O133" s="145"/>
    </row>
    <row r="134" spans="1:15" s="3" customFormat="1" ht="15.75" x14ac:dyDescent="0.2">
      <c r="A134" s="13" t="s">
        <v>419</v>
      </c>
      <c r="B134" s="234">
        <v>102.541</v>
      </c>
      <c r="C134" s="298">
        <v>0</v>
      </c>
      <c r="D134" s="168">
        <f>IF(B134=0, "    ---- ", IF(ABS(ROUND(100/B134*C134-100,1))&lt;999,ROUND(100/B134*C134-100,1),IF(ROUND(100/B134*C134-100,1)&gt;999,999,-999)))</f>
        <v>-100</v>
      </c>
      <c r="E134" s="11">
        <f>IFERROR(100/'Skjema total MA'!C134*C134,0)</f>
        <v>0</v>
      </c>
      <c r="F134" s="234"/>
      <c r="G134" s="298"/>
      <c r="H134" s="415"/>
      <c r="I134" s="22"/>
      <c r="J134" s="297">
        <f t="shared" si="14"/>
        <v>102.541</v>
      </c>
      <c r="K134" s="297">
        <f t="shared" si="14"/>
        <v>0</v>
      </c>
      <c r="L134" s="411">
        <f>IF(J134=0, "    ---- ", IF(ABS(ROUND(100/J134*K134-100,1))&lt;999,ROUND(100/J134*K134-100,1),IF(ROUND(100/J134*K134-100,1)&gt;999,999,-999)))</f>
        <v>-100</v>
      </c>
      <c r="M134" s="11">
        <f>IFERROR(100/'Skjema total MA'!I134*K134,0)</f>
        <v>0</v>
      </c>
      <c r="N134" s="145"/>
      <c r="O134" s="145"/>
    </row>
    <row r="135" spans="1:15" s="3" customFormat="1" ht="15.75" x14ac:dyDescent="0.2">
      <c r="A135" s="39" t="s">
        <v>420</v>
      </c>
      <c r="B135" s="273">
        <v>1800504.6580000001</v>
      </c>
      <c r="C135" s="304">
        <v>147167.99299999999</v>
      </c>
      <c r="D135" s="166">
        <f>IF(B135=0, "    ---- ", IF(ABS(ROUND(100/B135*C135-100,1))&lt;999,ROUND(100/B135*C135-100,1),IF(ROUND(100/B135*C135-100,1)&gt;999,999,-999)))</f>
        <v>-91.8</v>
      </c>
      <c r="E135" s="9">
        <f>IFERROR(100/'Skjema total MA'!C135*C135,0)</f>
        <v>41.052709083375376</v>
      </c>
      <c r="F135" s="273"/>
      <c r="G135" s="304"/>
      <c r="H135" s="416"/>
      <c r="I135" s="34"/>
      <c r="J135" s="303">
        <f t="shared" si="14"/>
        <v>1800504.6580000001</v>
      </c>
      <c r="K135" s="303">
        <f t="shared" si="14"/>
        <v>147167.99299999999</v>
      </c>
      <c r="L135" s="412">
        <f>IF(J135=0, "    ---- ", IF(ABS(ROUND(100/J135*K135-100,1))&lt;999,ROUND(100/J135*K135-100,1),IF(ROUND(100/J135*K135-100,1)&gt;999,999,-999)))</f>
        <v>-91.8</v>
      </c>
      <c r="M135" s="34">
        <f>IFERROR(100/'Skjema total MA'!I135*K135,0)</f>
        <v>41.052709083375376</v>
      </c>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262" priority="162">
      <formula>kvartal &lt; 4</formula>
    </cfRule>
  </conditionalFormatting>
  <conditionalFormatting sqref="B29">
    <cfRule type="expression" dxfId="261" priority="160">
      <formula>kvartal &lt; 4</formula>
    </cfRule>
  </conditionalFormatting>
  <conditionalFormatting sqref="B30">
    <cfRule type="expression" dxfId="260" priority="159">
      <formula>kvartal &lt; 4</formula>
    </cfRule>
  </conditionalFormatting>
  <conditionalFormatting sqref="B31">
    <cfRule type="expression" dxfId="259" priority="158">
      <formula>kvartal &lt; 4</formula>
    </cfRule>
  </conditionalFormatting>
  <conditionalFormatting sqref="C29">
    <cfRule type="expression" dxfId="258" priority="157">
      <formula>kvartal &lt; 4</formula>
    </cfRule>
  </conditionalFormatting>
  <conditionalFormatting sqref="C30">
    <cfRule type="expression" dxfId="257" priority="156">
      <formula>kvartal &lt; 4</formula>
    </cfRule>
  </conditionalFormatting>
  <conditionalFormatting sqref="C31">
    <cfRule type="expression" dxfId="256" priority="155">
      <formula>kvartal &lt; 4</formula>
    </cfRule>
  </conditionalFormatting>
  <conditionalFormatting sqref="B23:C25">
    <cfRule type="expression" dxfId="255" priority="154">
      <formula>kvartal &lt; 4</formula>
    </cfRule>
  </conditionalFormatting>
  <conditionalFormatting sqref="F23:G25">
    <cfRule type="expression" dxfId="254" priority="150">
      <formula>kvartal &lt; 4</formula>
    </cfRule>
  </conditionalFormatting>
  <conditionalFormatting sqref="F29">
    <cfRule type="expression" dxfId="253" priority="143">
      <formula>kvartal &lt; 4</formula>
    </cfRule>
  </conditionalFormatting>
  <conditionalFormatting sqref="F30">
    <cfRule type="expression" dxfId="252" priority="142">
      <formula>kvartal &lt; 4</formula>
    </cfRule>
  </conditionalFormatting>
  <conditionalFormatting sqref="F31">
    <cfRule type="expression" dxfId="251" priority="141">
      <formula>kvartal &lt; 4</formula>
    </cfRule>
  </conditionalFormatting>
  <conditionalFormatting sqref="G29">
    <cfRule type="expression" dxfId="250" priority="140">
      <formula>kvartal &lt; 4</formula>
    </cfRule>
  </conditionalFormatting>
  <conditionalFormatting sqref="G30">
    <cfRule type="expression" dxfId="249" priority="139">
      <formula>kvartal &lt; 4</formula>
    </cfRule>
  </conditionalFormatting>
  <conditionalFormatting sqref="G31">
    <cfRule type="expression" dxfId="248" priority="138">
      <formula>kvartal &lt; 4</formula>
    </cfRule>
  </conditionalFormatting>
  <conditionalFormatting sqref="B26">
    <cfRule type="expression" dxfId="247" priority="137">
      <formula>kvartal &lt; 4</formula>
    </cfRule>
  </conditionalFormatting>
  <conditionalFormatting sqref="C26">
    <cfRule type="expression" dxfId="246" priority="136">
      <formula>kvartal &lt; 4</formula>
    </cfRule>
  </conditionalFormatting>
  <conditionalFormatting sqref="F26">
    <cfRule type="expression" dxfId="245" priority="135">
      <formula>kvartal &lt; 4</formula>
    </cfRule>
  </conditionalFormatting>
  <conditionalFormatting sqref="G26">
    <cfRule type="expression" dxfId="244" priority="134">
      <formula>kvartal &lt; 4</formula>
    </cfRule>
  </conditionalFormatting>
  <conditionalFormatting sqref="J23:K26">
    <cfRule type="expression" dxfId="243" priority="133">
      <formula>kvartal &lt; 4</formula>
    </cfRule>
  </conditionalFormatting>
  <conditionalFormatting sqref="J29:K31">
    <cfRule type="expression" dxfId="242" priority="131">
      <formula>kvartal &lt; 4</formula>
    </cfRule>
  </conditionalFormatting>
  <conditionalFormatting sqref="B67">
    <cfRule type="expression" dxfId="241" priority="130">
      <formula>kvartal &lt; 4</formula>
    </cfRule>
  </conditionalFormatting>
  <conditionalFormatting sqref="C67">
    <cfRule type="expression" dxfId="240" priority="129">
      <formula>kvartal &lt; 4</formula>
    </cfRule>
  </conditionalFormatting>
  <conditionalFormatting sqref="B70">
    <cfRule type="expression" dxfId="239" priority="128">
      <formula>kvartal &lt; 4</formula>
    </cfRule>
  </conditionalFormatting>
  <conditionalFormatting sqref="C70">
    <cfRule type="expression" dxfId="238" priority="127">
      <formula>kvartal &lt; 4</formula>
    </cfRule>
  </conditionalFormatting>
  <conditionalFormatting sqref="B78">
    <cfRule type="expression" dxfId="237" priority="126">
      <formula>kvartal &lt; 4</formula>
    </cfRule>
  </conditionalFormatting>
  <conditionalFormatting sqref="C78">
    <cfRule type="expression" dxfId="236" priority="125">
      <formula>kvartal &lt; 4</formula>
    </cfRule>
  </conditionalFormatting>
  <conditionalFormatting sqref="B81">
    <cfRule type="expression" dxfId="235" priority="124">
      <formula>kvartal &lt; 4</formula>
    </cfRule>
  </conditionalFormatting>
  <conditionalFormatting sqref="C81">
    <cfRule type="expression" dxfId="234" priority="123">
      <formula>kvartal &lt; 4</formula>
    </cfRule>
  </conditionalFormatting>
  <conditionalFormatting sqref="B88">
    <cfRule type="expression" dxfId="233" priority="114">
      <formula>kvartal &lt; 4</formula>
    </cfRule>
  </conditionalFormatting>
  <conditionalFormatting sqref="C88">
    <cfRule type="expression" dxfId="232" priority="113">
      <formula>kvartal &lt; 4</formula>
    </cfRule>
  </conditionalFormatting>
  <conditionalFormatting sqref="B91">
    <cfRule type="expression" dxfId="231" priority="112">
      <formula>kvartal &lt; 4</formula>
    </cfRule>
  </conditionalFormatting>
  <conditionalFormatting sqref="C91">
    <cfRule type="expression" dxfId="230" priority="111">
      <formula>kvartal &lt; 4</formula>
    </cfRule>
  </conditionalFormatting>
  <conditionalFormatting sqref="B99">
    <cfRule type="expression" dxfId="229" priority="110">
      <formula>kvartal &lt; 4</formula>
    </cfRule>
  </conditionalFormatting>
  <conditionalFormatting sqref="C99">
    <cfRule type="expression" dxfId="228" priority="109">
      <formula>kvartal &lt; 4</formula>
    </cfRule>
  </conditionalFormatting>
  <conditionalFormatting sqref="B102">
    <cfRule type="expression" dxfId="227" priority="108">
      <formula>kvartal &lt; 4</formula>
    </cfRule>
  </conditionalFormatting>
  <conditionalFormatting sqref="C102">
    <cfRule type="expression" dxfId="226" priority="107">
      <formula>kvartal &lt; 4</formula>
    </cfRule>
  </conditionalFormatting>
  <conditionalFormatting sqref="B113">
    <cfRule type="expression" dxfId="225" priority="106">
      <formula>kvartal &lt; 4</formula>
    </cfRule>
  </conditionalFormatting>
  <conditionalFormatting sqref="C113">
    <cfRule type="expression" dxfId="224" priority="105">
      <formula>kvartal &lt; 4</formula>
    </cfRule>
  </conditionalFormatting>
  <conditionalFormatting sqref="B121">
    <cfRule type="expression" dxfId="223" priority="104">
      <formula>kvartal &lt; 4</formula>
    </cfRule>
  </conditionalFormatting>
  <conditionalFormatting sqref="C121">
    <cfRule type="expression" dxfId="222" priority="103">
      <formula>kvartal &lt; 4</formula>
    </cfRule>
  </conditionalFormatting>
  <conditionalFormatting sqref="F68">
    <cfRule type="expression" dxfId="221" priority="102">
      <formula>kvartal &lt; 4</formula>
    </cfRule>
  </conditionalFormatting>
  <conditionalFormatting sqref="G68">
    <cfRule type="expression" dxfId="220" priority="101">
      <formula>kvartal &lt; 4</formula>
    </cfRule>
  </conditionalFormatting>
  <conditionalFormatting sqref="F69:G69">
    <cfRule type="expression" dxfId="219" priority="100">
      <formula>kvartal &lt; 4</formula>
    </cfRule>
  </conditionalFormatting>
  <conditionalFormatting sqref="F71:G72">
    <cfRule type="expression" dxfId="218" priority="99">
      <formula>kvartal &lt; 4</formula>
    </cfRule>
  </conditionalFormatting>
  <conditionalFormatting sqref="F79:G80">
    <cfRule type="expression" dxfId="217" priority="98">
      <formula>kvartal &lt; 4</formula>
    </cfRule>
  </conditionalFormatting>
  <conditionalFormatting sqref="F82:G83">
    <cfRule type="expression" dxfId="216" priority="97">
      <formula>kvartal &lt; 4</formula>
    </cfRule>
  </conditionalFormatting>
  <conditionalFormatting sqref="F89:G90">
    <cfRule type="expression" dxfId="215" priority="92">
      <formula>kvartal &lt; 4</formula>
    </cfRule>
  </conditionalFormatting>
  <conditionalFormatting sqref="F92:G93">
    <cfRule type="expression" dxfId="214" priority="91">
      <formula>kvartal &lt; 4</formula>
    </cfRule>
  </conditionalFormatting>
  <conditionalFormatting sqref="F100:G101">
    <cfRule type="expression" dxfId="213" priority="90">
      <formula>kvartal &lt; 4</formula>
    </cfRule>
  </conditionalFormatting>
  <conditionalFormatting sqref="F103:G104">
    <cfRule type="expression" dxfId="212" priority="89">
      <formula>kvartal &lt; 4</formula>
    </cfRule>
  </conditionalFormatting>
  <conditionalFormatting sqref="F113">
    <cfRule type="expression" dxfId="211" priority="88">
      <formula>kvartal &lt; 4</formula>
    </cfRule>
  </conditionalFormatting>
  <conditionalFormatting sqref="G113">
    <cfRule type="expression" dxfId="210" priority="87">
      <formula>kvartal &lt; 4</formula>
    </cfRule>
  </conditionalFormatting>
  <conditionalFormatting sqref="F121:G121">
    <cfRule type="expression" dxfId="209" priority="86">
      <formula>kvartal &lt; 4</formula>
    </cfRule>
  </conditionalFormatting>
  <conditionalFormatting sqref="F67:G67">
    <cfRule type="expression" dxfId="208" priority="85">
      <formula>kvartal &lt; 4</formula>
    </cfRule>
  </conditionalFormatting>
  <conditionalFormatting sqref="F70:G70">
    <cfRule type="expression" dxfId="207" priority="84">
      <formula>kvartal &lt; 4</formula>
    </cfRule>
  </conditionalFormatting>
  <conditionalFormatting sqref="F78:G78">
    <cfRule type="expression" dxfId="206" priority="83">
      <formula>kvartal &lt; 4</formula>
    </cfRule>
  </conditionalFormatting>
  <conditionalFormatting sqref="F81:G81">
    <cfRule type="expression" dxfId="205" priority="82">
      <formula>kvartal &lt; 4</formula>
    </cfRule>
  </conditionalFormatting>
  <conditionalFormatting sqref="F88:G88">
    <cfRule type="expression" dxfId="204" priority="76">
      <formula>kvartal &lt; 4</formula>
    </cfRule>
  </conditionalFormatting>
  <conditionalFormatting sqref="F91">
    <cfRule type="expression" dxfId="203" priority="75">
      <formula>kvartal &lt; 4</formula>
    </cfRule>
  </conditionalFormatting>
  <conditionalFormatting sqref="G91">
    <cfRule type="expression" dxfId="202" priority="74">
      <formula>kvartal &lt; 4</formula>
    </cfRule>
  </conditionalFormatting>
  <conditionalFormatting sqref="F99">
    <cfRule type="expression" dxfId="201" priority="73">
      <formula>kvartal &lt; 4</formula>
    </cfRule>
  </conditionalFormatting>
  <conditionalFormatting sqref="G99">
    <cfRule type="expression" dxfId="200" priority="72">
      <formula>kvartal &lt; 4</formula>
    </cfRule>
  </conditionalFormatting>
  <conditionalFormatting sqref="G102">
    <cfRule type="expression" dxfId="199" priority="71">
      <formula>kvartal &lt; 4</formula>
    </cfRule>
  </conditionalFormatting>
  <conditionalFormatting sqref="F102">
    <cfRule type="expression" dxfId="198" priority="70">
      <formula>kvartal &lt; 4</formula>
    </cfRule>
  </conditionalFormatting>
  <conditionalFormatting sqref="J67:K71">
    <cfRule type="expression" dxfId="197" priority="69">
      <formula>kvartal &lt; 4</formula>
    </cfRule>
  </conditionalFormatting>
  <conditionalFormatting sqref="J72:K72">
    <cfRule type="expression" dxfId="196" priority="68">
      <formula>kvartal &lt; 4</formula>
    </cfRule>
  </conditionalFormatting>
  <conditionalFormatting sqref="J78:K83">
    <cfRule type="expression" dxfId="195" priority="67">
      <formula>kvartal &lt; 4</formula>
    </cfRule>
  </conditionalFormatting>
  <conditionalFormatting sqref="J88:K93">
    <cfRule type="expression" dxfId="194" priority="64">
      <formula>kvartal &lt; 4</formula>
    </cfRule>
  </conditionalFormatting>
  <conditionalFormatting sqref="J99:K104">
    <cfRule type="expression" dxfId="193" priority="63">
      <formula>kvartal &lt; 4</formula>
    </cfRule>
  </conditionalFormatting>
  <conditionalFormatting sqref="J113:K113">
    <cfRule type="expression" dxfId="192" priority="62">
      <formula>kvartal &lt; 4</formula>
    </cfRule>
  </conditionalFormatting>
  <conditionalFormatting sqref="J121:K121">
    <cfRule type="expression" dxfId="191" priority="61">
      <formula>kvartal &lt; 4</formula>
    </cfRule>
  </conditionalFormatting>
  <conditionalFormatting sqref="A23:A25">
    <cfRule type="expression" dxfId="190" priority="10">
      <formula>kvartal &lt; 4</formula>
    </cfRule>
  </conditionalFormatting>
  <conditionalFormatting sqref="A48:A50">
    <cfRule type="expression" dxfId="189" priority="9">
      <formula>kvartal &lt; 4</formula>
    </cfRule>
  </conditionalFormatting>
  <conditionalFormatting sqref="A67:A72">
    <cfRule type="expression" dxfId="188" priority="8">
      <formula>kvartal &lt; 4</formula>
    </cfRule>
  </conditionalFormatting>
  <conditionalFormatting sqref="A113">
    <cfRule type="expression" dxfId="187" priority="7">
      <formula>kvartal &lt; 4</formula>
    </cfRule>
  </conditionalFormatting>
  <conditionalFormatting sqref="A121">
    <cfRule type="expression" dxfId="186" priority="6">
      <formula>kvartal &lt; 4</formula>
    </cfRule>
  </conditionalFormatting>
  <conditionalFormatting sqref="A26">
    <cfRule type="expression" dxfId="185" priority="5">
      <formula>kvartal &lt; 4</formula>
    </cfRule>
  </conditionalFormatting>
  <conditionalFormatting sqref="A29:A31">
    <cfRule type="expression" dxfId="184" priority="4">
      <formula>kvartal &lt; 4</formula>
    </cfRule>
  </conditionalFormatting>
  <conditionalFormatting sqref="A78:A83">
    <cfRule type="expression" dxfId="183" priority="3">
      <formula>kvartal &lt; 4</formula>
    </cfRule>
  </conditionalFormatting>
  <conditionalFormatting sqref="A88:A93">
    <cfRule type="expression" dxfId="182" priority="2">
      <formula>kvartal &lt; 4</formula>
    </cfRule>
  </conditionalFormatting>
  <conditionalFormatting sqref="A99:A104">
    <cfRule type="expression" dxfId="181" priority="1">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146</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168"/>
      <c r="E36" s="22"/>
      <c r="F36" s="655"/>
      <c r="G36" s="656"/>
      <c r="H36" s="168"/>
      <c r="I36" s="417"/>
      <c r="J36" s="234"/>
      <c r="K36" s="234"/>
      <c r="L36" s="411"/>
      <c r="M36" s="22"/>
      <c r="O36" s="145"/>
    </row>
    <row r="37" spans="1:15" ht="15.75" x14ac:dyDescent="0.2">
      <c r="A37" s="17" t="s">
        <v>406</v>
      </c>
      <c r="B37" s="273"/>
      <c r="C37" s="304"/>
      <c r="D37" s="166"/>
      <c r="E37" s="34"/>
      <c r="F37" s="658"/>
      <c r="G37" s="659"/>
      <c r="H37" s="166"/>
      <c r="I37" s="34"/>
      <c r="J37" s="234"/>
      <c r="K37" s="234"/>
      <c r="L37" s="412"/>
      <c r="M37" s="34"/>
      <c r="O37" s="145"/>
    </row>
    <row r="38" spans="1:15" ht="15.75" x14ac:dyDescent="0.25">
      <c r="A38" s="45"/>
      <c r="B38" s="252"/>
      <c r="C38" s="252"/>
      <c r="D38" s="695"/>
      <c r="E38" s="695"/>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25828</v>
      </c>
      <c r="C45" s="300">
        <v>23751</v>
      </c>
      <c r="D45" s="410">
        <f t="shared" ref="D45:D46" si="0">IF(B45=0, "    ---- ", IF(ABS(ROUND(100/B45*C45-100,1))&lt;999,ROUND(100/B45*C45-100,1),IF(ROUND(100/B45*C45-100,1)&gt;999,999,-999)))</f>
        <v>-8</v>
      </c>
      <c r="E45" s="11">
        <f>IFERROR(100/'Skjema total MA'!C45*C45,0)</f>
        <v>0.71147251192522998</v>
      </c>
      <c r="F45" s="142"/>
      <c r="G45" s="31"/>
      <c r="H45" s="156"/>
      <c r="I45" s="156"/>
      <c r="J45" s="35"/>
      <c r="K45" s="35"/>
      <c r="L45" s="156"/>
      <c r="M45" s="156"/>
      <c r="N45" s="145"/>
      <c r="O45" s="145"/>
    </row>
    <row r="46" spans="1:15" s="3" customFormat="1" ht="15.75" x14ac:dyDescent="0.2">
      <c r="A46" s="36" t="s">
        <v>407</v>
      </c>
      <c r="B46" s="278">
        <v>25828</v>
      </c>
      <c r="C46" s="279">
        <v>23751</v>
      </c>
      <c r="D46" s="253">
        <f t="shared" si="0"/>
        <v>-8</v>
      </c>
      <c r="E46" s="25">
        <f>IFERROR(100/'Skjema total MA'!C46*C46,0)</f>
        <v>1.3049379288062393</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180" priority="136">
      <formula>kvartal &lt; 4</formula>
    </cfRule>
  </conditionalFormatting>
  <conditionalFormatting sqref="B29">
    <cfRule type="expression" dxfId="179" priority="134">
      <formula>kvartal &lt; 4</formula>
    </cfRule>
  </conditionalFormatting>
  <conditionalFormatting sqref="B30">
    <cfRule type="expression" dxfId="178" priority="133">
      <formula>kvartal &lt; 4</formula>
    </cfRule>
  </conditionalFormatting>
  <conditionalFormatting sqref="B31">
    <cfRule type="expression" dxfId="177" priority="132">
      <formula>kvartal &lt; 4</formula>
    </cfRule>
  </conditionalFormatting>
  <conditionalFormatting sqref="C29">
    <cfRule type="expression" dxfId="176" priority="131">
      <formula>kvartal &lt; 4</formula>
    </cfRule>
  </conditionalFormatting>
  <conditionalFormatting sqref="C30">
    <cfRule type="expression" dxfId="175" priority="130">
      <formula>kvartal &lt; 4</formula>
    </cfRule>
  </conditionalFormatting>
  <conditionalFormatting sqref="C31">
    <cfRule type="expression" dxfId="174" priority="129">
      <formula>kvartal &lt; 4</formula>
    </cfRule>
  </conditionalFormatting>
  <conditionalFormatting sqref="B23:C25">
    <cfRule type="expression" dxfId="173" priority="128">
      <formula>kvartal &lt; 4</formula>
    </cfRule>
  </conditionalFormatting>
  <conditionalFormatting sqref="F23:G25">
    <cfRule type="expression" dxfId="172" priority="124">
      <formula>kvartal &lt; 4</formula>
    </cfRule>
  </conditionalFormatting>
  <conditionalFormatting sqref="F29">
    <cfRule type="expression" dxfId="171" priority="117">
      <formula>kvartal &lt; 4</formula>
    </cfRule>
  </conditionalFormatting>
  <conditionalFormatting sqref="F30">
    <cfRule type="expression" dxfId="170" priority="116">
      <formula>kvartal &lt; 4</formula>
    </cfRule>
  </conditionalFormatting>
  <conditionalFormatting sqref="F31">
    <cfRule type="expression" dxfId="169" priority="115">
      <formula>kvartal &lt; 4</formula>
    </cfRule>
  </conditionalFormatting>
  <conditionalFormatting sqref="G29">
    <cfRule type="expression" dxfId="168" priority="114">
      <formula>kvartal &lt; 4</formula>
    </cfRule>
  </conditionalFormatting>
  <conditionalFormatting sqref="G30">
    <cfRule type="expression" dxfId="167" priority="113">
      <formula>kvartal &lt; 4</formula>
    </cfRule>
  </conditionalFormatting>
  <conditionalFormatting sqref="G31">
    <cfRule type="expression" dxfId="166" priority="112">
      <formula>kvartal &lt; 4</formula>
    </cfRule>
  </conditionalFormatting>
  <conditionalFormatting sqref="B26">
    <cfRule type="expression" dxfId="165" priority="111">
      <formula>kvartal &lt; 4</formula>
    </cfRule>
  </conditionalFormatting>
  <conditionalFormatting sqref="C26">
    <cfRule type="expression" dxfId="164" priority="110">
      <formula>kvartal &lt; 4</formula>
    </cfRule>
  </conditionalFormatting>
  <conditionalFormatting sqref="F26">
    <cfRule type="expression" dxfId="163" priority="109">
      <formula>kvartal &lt; 4</formula>
    </cfRule>
  </conditionalFormatting>
  <conditionalFormatting sqref="G26">
    <cfRule type="expression" dxfId="162" priority="108">
      <formula>kvartal &lt; 4</formula>
    </cfRule>
  </conditionalFormatting>
  <conditionalFormatting sqref="J23:K26">
    <cfRule type="expression" dxfId="161" priority="107">
      <formula>kvartal &lt; 4</formula>
    </cfRule>
  </conditionalFormatting>
  <conditionalFormatting sqref="J29:K31">
    <cfRule type="expression" dxfId="160" priority="105">
      <formula>kvartal &lt; 4</formula>
    </cfRule>
  </conditionalFormatting>
  <conditionalFormatting sqref="B67">
    <cfRule type="expression" dxfId="159" priority="104">
      <formula>kvartal &lt; 4</formula>
    </cfRule>
  </conditionalFormatting>
  <conditionalFormatting sqref="C67">
    <cfRule type="expression" dxfId="158" priority="103">
      <formula>kvartal &lt; 4</formula>
    </cfRule>
  </conditionalFormatting>
  <conditionalFormatting sqref="B70">
    <cfRule type="expression" dxfId="157" priority="102">
      <formula>kvartal &lt; 4</formula>
    </cfRule>
  </conditionalFormatting>
  <conditionalFormatting sqref="C70">
    <cfRule type="expression" dxfId="156" priority="101">
      <formula>kvartal &lt; 4</formula>
    </cfRule>
  </conditionalFormatting>
  <conditionalFormatting sqref="B78">
    <cfRule type="expression" dxfId="155" priority="100">
      <formula>kvartal &lt; 4</formula>
    </cfRule>
  </conditionalFormatting>
  <conditionalFormatting sqref="C78">
    <cfRule type="expression" dxfId="154" priority="99">
      <formula>kvartal &lt; 4</formula>
    </cfRule>
  </conditionalFormatting>
  <conditionalFormatting sqref="B81">
    <cfRule type="expression" dxfId="153" priority="98">
      <formula>kvartal &lt; 4</formula>
    </cfRule>
  </conditionalFormatting>
  <conditionalFormatting sqref="C81">
    <cfRule type="expression" dxfId="152" priority="97">
      <formula>kvartal &lt; 4</formula>
    </cfRule>
  </conditionalFormatting>
  <conditionalFormatting sqref="B88">
    <cfRule type="expression" dxfId="151" priority="88">
      <formula>kvartal &lt; 4</formula>
    </cfRule>
  </conditionalFormatting>
  <conditionalFormatting sqref="C88">
    <cfRule type="expression" dxfId="150" priority="87">
      <formula>kvartal &lt; 4</formula>
    </cfRule>
  </conditionalFormatting>
  <conditionalFormatting sqref="B91">
    <cfRule type="expression" dxfId="149" priority="86">
      <formula>kvartal &lt; 4</formula>
    </cfRule>
  </conditionalFormatting>
  <conditionalFormatting sqref="C91">
    <cfRule type="expression" dxfId="148" priority="85">
      <formula>kvartal &lt; 4</formula>
    </cfRule>
  </conditionalFormatting>
  <conditionalFormatting sqref="B99">
    <cfRule type="expression" dxfId="147" priority="84">
      <formula>kvartal &lt; 4</formula>
    </cfRule>
  </conditionalFormatting>
  <conditionalFormatting sqref="C99">
    <cfRule type="expression" dxfId="146" priority="83">
      <formula>kvartal &lt; 4</formula>
    </cfRule>
  </conditionalFormatting>
  <conditionalFormatting sqref="B102">
    <cfRule type="expression" dxfId="145" priority="82">
      <formula>kvartal &lt; 4</formula>
    </cfRule>
  </conditionalFormatting>
  <conditionalFormatting sqref="C102">
    <cfRule type="expression" dxfId="144" priority="81">
      <formula>kvartal &lt; 4</formula>
    </cfRule>
  </conditionalFormatting>
  <conditionalFormatting sqref="B113">
    <cfRule type="expression" dxfId="143" priority="80">
      <formula>kvartal &lt; 4</formula>
    </cfRule>
  </conditionalFormatting>
  <conditionalFormatting sqref="C113">
    <cfRule type="expression" dxfId="142" priority="79">
      <formula>kvartal &lt; 4</formula>
    </cfRule>
  </conditionalFormatting>
  <conditionalFormatting sqref="B121">
    <cfRule type="expression" dxfId="141" priority="78">
      <formula>kvartal &lt; 4</formula>
    </cfRule>
  </conditionalFormatting>
  <conditionalFormatting sqref="C121">
    <cfRule type="expression" dxfId="140" priority="77">
      <formula>kvartal &lt; 4</formula>
    </cfRule>
  </conditionalFormatting>
  <conditionalFormatting sqref="F68">
    <cfRule type="expression" dxfId="139" priority="76">
      <formula>kvartal &lt; 4</formula>
    </cfRule>
  </conditionalFormatting>
  <conditionalFormatting sqref="G68">
    <cfRule type="expression" dxfId="138" priority="75">
      <formula>kvartal &lt; 4</formula>
    </cfRule>
  </conditionalFormatting>
  <conditionalFormatting sqref="F69:G69">
    <cfRule type="expression" dxfId="137" priority="74">
      <formula>kvartal &lt; 4</formula>
    </cfRule>
  </conditionalFormatting>
  <conditionalFormatting sqref="F71:G72">
    <cfRule type="expression" dxfId="136" priority="73">
      <formula>kvartal &lt; 4</formula>
    </cfRule>
  </conditionalFormatting>
  <conditionalFormatting sqref="F79:G80">
    <cfRule type="expression" dxfId="135" priority="72">
      <formula>kvartal &lt; 4</formula>
    </cfRule>
  </conditionalFormatting>
  <conditionalFormatting sqref="F82:G83">
    <cfRule type="expression" dxfId="134" priority="71">
      <formula>kvartal &lt; 4</formula>
    </cfRule>
  </conditionalFormatting>
  <conditionalFormatting sqref="F89:G90">
    <cfRule type="expression" dxfId="133" priority="66">
      <formula>kvartal &lt; 4</formula>
    </cfRule>
  </conditionalFormatting>
  <conditionalFormatting sqref="F92:G93">
    <cfRule type="expression" dxfId="132" priority="65">
      <formula>kvartal &lt; 4</formula>
    </cfRule>
  </conditionalFormatting>
  <conditionalFormatting sqref="F100:G101">
    <cfRule type="expression" dxfId="131" priority="64">
      <formula>kvartal &lt; 4</formula>
    </cfRule>
  </conditionalFormatting>
  <conditionalFormatting sqref="F103:G104">
    <cfRule type="expression" dxfId="130" priority="63">
      <formula>kvartal &lt; 4</formula>
    </cfRule>
  </conditionalFormatting>
  <conditionalFormatting sqref="F113">
    <cfRule type="expression" dxfId="129" priority="62">
      <formula>kvartal &lt; 4</formula>
    </cfRule>
  </conditionalFormatting>
  <conditionalFormatting sqref="G113">
    <cfRule type="expression" dxfId="128" priority="61">
      <formula>kvartal &lt; 4</formula>
    </cfRule>
  </conditionalFormatting>
  <conditionalFormatting sqref="F121:G121">
    <cfRule type="expression" dxfId="127" priority="60">
      <formula>kvartal &lt; 4</formula>
    </cfRule>
  </conditionalFormatting>
  <conditionalFormatting sqref="F67:G67">
    <cfRule type="expression" dxfId="126" priority="59">
      <formula>kvartal &lt; 4</formula>
    </cfRule>
  </conditionalFormatting>
  <conditionalFormatting sqref="F70:G70">
    <cfRule type="expression" dxfId="125" priority="58">
      <formula>kvartal &lt; 4</formula>
    </cfRule>
  </conditionalFormatting>
  <conditionalFormatting sqref="F78:G78">
    <cfRule type="expression" dxfId="124" priority="57">
      <formula>kvartal &lt; 4</formula>
    </cfRule>
  </conditionalFormatting>
  <conditionalFormatting sqref="F81:G81">
    <cfRule type="expression" dxfId="123" priority="56">
      <formula>kvartal &lt; 4</formula>
    </cfRule>
  </conditionalFormatting>
  <conditionalFormatting sqref="F88:G88">
    <cfRule type="expression" dxfId="122" priority="50">
      <formula>kvartal &lt; 4</formula>
    </cfRule>
  </conditionalFormatting>
  <conditionalFormatting sqref="F91">
    <cfRule type="expression" dxfId="121" priority="49">
      <formula>kvartal &lt; 4</formula>
    </cfRule>
  </conditionalFormatting>
  <conditionalFormatting sqref="G91">
    <cfRule type="expression" dxfId="120" priority="48">
      <formula>kvartal &lt; 4</formula>
    </cfRule>
  </conditionalFormatting>
  <conditionalFormatting sqref="F99">
    <cfRule type="expression" dxfId="119" priority="47">
      <formula>kvartal &lt; 4</formula>
    </cfRule>
  </conditionalFormatting>
  <conditionalFormatting sqref="G99">
    <cfRule type="expression" dxfId="118" priority="46">
      <formula>kvartal &lt; 4</formula>
    </cfRule>
  </conditionalFormatting>
  <conditionalFormatting sqref="G102">
    <cfRule type="expression" dxfId="117" priority="45">
      <formula>kvartal &lt; 4</formula>
    </cfRule>
  </conditionalFormatting>
  <conditionalFormatting sqref="F102">
    <cfRule type="expression" dxfId="116" priority="44">
      <formula>kvartal &lt; 4</formula>
    </cfRule>
  </conditionalFormatting>
  <conditionalFormatting sqref="J67:K71">
    <cfRule type="expression" dxfId="115" priority="43">
      <formula>kvartal &lt; 4</formula>
    </cfRule>
  </conditionalFormatting>
  <conditionalFormatting sqref="J72:K72">
    <cfRule type="expression" dxfId="114" priority="42">
      <formula>kvartal &lt; 4</formula>
    </cfRule>
  </conditionalFormatting>
  <conditionalFormatting sqref="J78:K83">
    <cfRule type="expression" dxfId="113" priority="41">
      <formula>kvartal &lt; 4</formula>
    </cfRule>
  </conditionalFormatting>
  <conditionalFormatting sqref="J88:K93">
    <cfRule type="expression" dxfId="112" priority="38">
      <formula>kvartal &lt; 4</formula>
    </cfRule>
  </conditionalFormatting>
  <conditionalFormatting sqref="J99:K104">
    <cfRule type="expression" dxfId="111" priority="37">
      <formula>kvartal &lt; 4</formula>
    </cfRule>
  </conditionalFormatting>
  <conditionalFormatting sqref="J113:K113">
    <cfRule type="expression" dxfId="110" priority="36">
      <formula>kvartal &lt; 4</formula>
    </cfRule>
  </conditionalFormatting>
  <conditionalFormatting sqref="J121:K121">
    <cfRule type="expression" dxfId="109" priority="35">
      <formula>kvartal &lt; 4</formula>
    </cfRule>
  </conditionalFormatting>
  <conditionalFormatting sqref="A23:A25">
    <cfRule type="expression" dxfId="108" priority="19">
      <formula>kvartal &lt; 4</formula>
    </cfRule>
  </conditionalFormatting>
  <conditionalFormatting sqref="A48:A50">
    <cfRule type="expression" dxfId="107" priority="16">
      <formula>kvartal &lt; 4</formula>
    </cfRule>
  </conditionalFormatting>
  <conditionalFormatting sqref="A67:A72">
    <cfRule type="expression" dxfId="106" priority="14">
      <formula>kvartal &lt; 4</formula>
    </cfRule>
  </conditionalFormatting>
  <conditionalFormatting sqref="A113">
    <cfRule type="expression" dxfId="105" priority="8">
      <formula>kvartal &lt; 4</formula>
    </cfRule>
  </conditionalFormatting>
  <conditionalFormatting sqref="A121">
    <cfRule type="expression" dxfId="104" priority="7">
      <formula>kvartal &lt; 4</formula>
    </cfRule>
  </conditionalFormatting>
  <conditionalFormatting sqref="A26">
    <cfRule type="expression" dxfId="103" priority="6">
      <formula>kvartal &lt; 4</formula>
    </cfRule>
  </conditionalFormatting>
  <conditionalFormatting sqref="A29:A31">
    <cfRule type="expression" dxfId="102" priority="4">
      <formula>kvartal &lt; 4</formula>
    </cfRule>
  </conditionalFormatting>
  <conditionalFormatting sqref="A78:A83">
    <cfRule type="expression" dxfId="101" priority="3">
      <formula>kvartal &lt; 4</formula>
    </cfRule>
  </conditionalFormatting>
  <conditionalFormatting sqref="A88:A93">
    <cfRule type="expression" dxfId="100" priority="2">
      <formula>kvartal &lt; 4</formula>
    </cfRule>
  </conditionalFormatting>
  <conditionalFormatting sqref="A99:A104">
    <cfRule type="expression" dxfId="99" priority="1">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180"/>
  <sheetViews>
    <sheetView showGridLines="0" showZeros="0" zoomScale="90" zoomScaleNormal="90" workbookViewId="0">
      <selection activeCell="A2" sqref="A2"/>
    </sheetView>
  </sheetViews>
  <sheetFormatPr baseColWidth="10" defaultColWidth="11.42578125" defaultRowHeight="18.75" x14ac:dyDescent="0.3"/>
  <cols>
    <col min="10" max="11" width="16.7109375" customWidth="1"/>
    <col min="12" max="12" width="20.7109375" style="72" customWidth="1"/>
    <col min="13" max="14" width="15.85546875" style="72" bestFit="1" customWidth="1"/>
    <col min="15" max="15" width="22.85546875" customWidth="1"/>
    <col min="16" max="16" width="13.42578125" customWidth="1"/>
    <col min="17" max="17" width="13.85546875" customWidth="1"/>
  </cols>
  <sheetData>
    <row r="1" spans="1:15" x14ac:dyDescent="0.3">
      <c r="A1" s="71" t="s">
        <v>53</v>
      </c>
    </row>
    <row r="2" spans="1:15" x14ac:dyDescent="0.3">
      <c r="A2" s="73"/>
      <c r="B2" s="72"/>
      <c r="C2" s="72"/>
      <c r="D2" s="72"/>
      <c r="E2" s="72"/>
      <c r="F2" s="72"/>
      <c r="G2" s="72"/>
      <c r="H2" s="72"/>
      <c r="I2" s="72"/>
      <c r="J2" s="72"/>
      <c r="K2" s="72"/>
      <c r="O2" s="72"/>
    </row>
    <row r="3" spans="1:15" x14ac:dyDescent="0.3">
      <c r="A3" s="73" t="s">
        <v>33</v>
      </c>
      <c r="B3" s="72"/>
      <c r="C3" s="72"/>
      <c r="D3" s="72"/>
      <c r="E3" s="72"/>
      <c r="F3" s="72"/>
      <c r="G3" s="72"/>
      <c r="H3" s="72"/>
      <c r="I3" s="72"/>
      <c r="J3" s="72"/>
      <c r="K3" s="72"/>
      <c r="O3" s="72"/>
    </row>
    <row r="4" spans="1:15" x14ac:dyDescent="0.3">
      <c r="A4" s="72"/>
      <c r="B4" s="72"/>
      <c r="C4" s="72"/>
      <c r="D4" s="72"/>
      <c r="E4" s="72"/>
      <c r="F4" s="72"/>
      <c r="G4" s="72"/>
      <c r="H4" s="72"/>
      <c r="I4" s="72"/>
      <c r="J4" s="72"/>
      <c r="K4" s="72"/>
      <c r="L4" s="74"/>
      <c r="O4" s="72"/>
    </row>
    <row r="5" spans="1:15" x14ac:dyDescent="0.3">
      <c r="A5" s="73" t="s">
        <v>381</v>
      </c>
      <c r="B5" s="72"/>
      <c r="C5" s="72"/>
      <c r="D5" s="72"/>
      <c r="E5" s="72"/>
      <c r="F5" s="72"/>
      <c r="G5" s="72"/>
      <c r="H5" s="72"/>
      <c r="I5" s="77"/>
      <c r="J5" s="72"/>
      <c r="K5" s="72"/>
      <c r="O5" s="72"/>
    </row>
    <row r="6" spans="1:15" x14ac:dyDescent="0.3">
      <c r="A6" s="72"/>
      <c r="B6" s="72"/>
      <c r="C6" s="72"/>
      <c r="D6" s="72"/>
      <c r="E6" s="72"/>
      <c r="F6" s="72"/>
      <c r="G6" s="72"/>
      <c r="H6" s="72"/>
      <c r="I6" s="72"/>
      <c r="J6" s="72"/>
      <c r="K6" s="72"/>
      <c r="L6" s="72" t="s">
        <v>54</v>
      </c>
      <c r="O6" s="72"/>
    </row>
    <row r="7" spans="1:15" x14ac:dyDescent="0.3">
      <c r="A7" s="72"/>
      <c r="B7" s="72"/>
      <c r="C7" s="72"/>
      <c r="D7" s="72"/>
      <c r="E7" s="72"/>
      <c r="F7" s="72"/>
      <c r="G7" s="72"/>
      <c r="H7" s="72"/>
      <c r="I7" s="72"/>
      <c r="J7" s="72"/>
      <c r="K7" s="72"/>
      <c r="L7" s="72" t="s">
        <v>0</v>
      </c>
      <c r="O7" s="72"/>
    </row>
    <row r="8" spans="1:15" x14ac:dyDescent="0.3">
      <c r="A8" s="72"/>
      <c r="B8" s="72"/>
      <c r="C8" s="72"/>
      <c r="D8" s="72"/>
      <c r="E8" s="72"/>
      <c r="F8" s="72"/>
      <c r="G8" s="72"/>
      <c r="H8" s="72"/>
      <c r="I8" s="72"/>
      <c r="J8" s="72"/>
      <c r="K8" s="72"/>
      <c r="M8" s="72">
        <v>2016</v>
      </c>
      <c r="N8" s="72">
        <v>2017</v>
      </c>
      <c r="O8" s="72"/>
    </row>
    <row r="9" spans="1:15" x14ac:dyDescent="0.3">
      <c r="A9" s="72"/>
      <c r="B9" s="72"/>
      <c r="C9" s="72"/>
      <c r="D9" s="72"/>
      <c r="E9" s="72"/>
      <c r="F9" s="72"/>
      <c r="G9" s="72"/>
      <c r="H9" s="72"/>
      <c r="I9" s="72"/>
      <c r="J9" s="72"/>
      <c r="K9" s="72"/>
      <c r="L9" s="72" t="s">
        <v>55</v>
      </c>
      <c r="M9" s="75">
        <f>'Tabel 1.1'!B9</f>
        <v>0</v>
      </c>
      <c r="N9" s="75">
        <f>'Tabel 1.1'!C9</f>
        <v>0</v>
      </c>
      <c r="O9" s="72"/>
    </row>
    <row r="10" spans="1:15" x14ac:dyDescent="0.3">
      <c r="A10" s="72"/>
      <c r="B10" s="72"/>
      <c r="C10" s="72"/>
      <c r="D10" s="72"/>
      <c r="E10" s="72"/>
      <c r="F10" s="72"/>
      <c r="G10" s="72"/>
      <c r="H10" s="72"/>
      <c r="I10" s="72"/>
      <c r="J10" s="72"/>
      <c r="K10" s="72"/>
      <c r="L10" s="72" t="s">
        <v>56</v>
      </c>
      <c r="M10" s="75">
        <f>'Tabel 1.1'!B10</f>
        <v>295963.266</v>
      </c>
      <c r="N10" s="75">
        <f>'Tabel 1.1'!C10</f>
        <v>296945.32299999997</v>
      </c>
      <c r="O10" s="72"/>
    </row>
    <row r="11" spans="1:15" x14ac:dyDescent="0.3">
      <c r="A11" s="72"/>
      <c r="B11" s="72"/>
      <c r="C11" s="72"/>
      <c r="D11" s="72"/>
      <c r="E11" s="72"/>
      <c r="F11" s="72"/>
      <c r="G11" s="72"/>
      <c r="H11" s="72"/>
      <c r="I11" s="72"/>
      <c r="J11" s="72"/>
      <c r="K11" s="72"/>
      <c r="L11" s="72" t="s">
        <v>57</v>
      </c>
      <c r="M11" s="75">
        <f>'Tabel 1.1'!B11</f>
        <v>5603733</v>
      </c>
      <c r="N11" s="75">
        <f>'Tabel 1.1'!C11</f>
        <v>3987303.2930000001</v>
      </c>
      <c r="O11" s="72"/>
    </row>
    <row r="12" spans="1:15" x14ac:dyDescent="0.3">
      <c r="A12" s="72"/>
      <c r="B12" s="72"/>
      <c r="C12" s="72"/>
      <c r="D12" s="72"/>
      <c r="E12" s="72"/>
      <c r="F12" s="72"/>
      <c r="G12" s="72"/>
      <c r="H12" s="72"/>
      <c r="I12" s="72"/>
      <c r="J12" s="72"/>
      <c r="K12" s="72"/>
      <c r="L12" s="72" t="s">
        <v>58</v>
      </c>
      <c r="M12" s="75">
        <f>'Tabel 1.1'!B12</f>
        <v>302208</v>
      </c>
      <c r="N12" s="75">
        <f>'Tabel 1.1'!C12</f>
        <v>210802</v>
      </c>
      <c r="O12" s="72"/>
    </row>
    <row r="13" spans="1:15" x14ac:dyDescent="0.3">
      <c r="A13" s="72"/>
      <c r="B13" s="72"/>
      <c r="C13" s="72"/>
      <c r="D13" s="72"/>
      <c r="E13" s="72"/>
      <c r="F13" s="72"/>
      <c r="G13" s="72"/>
      <c r="H13" s="72"/>
      <c r="I13" s="72"/>
      <c r="J13" s="72"/>
      <c r="K13" s="72"/>
      <c r="L13" s="72" t="s">
        <v>59</v>
      </c>
      <c r="M13" s="75">
        <f>'Tabel 1.1'!B13</f>
        <v>454023</v>
      </c>
      <c r="N13" s="75">
        <f>'Tabel 1.1'!C13</f>
        <v>492991.8</v>
      </c>
      <c r="O13" s="72"/>
    </row>
    <row r="14" spans="1:15" x14ac:dyDescent="0.3">
      <c r="A14" s="72"/>
      <c r="B14" s="72"/>
      <c r="C14" s="72"/>
      <c r="D14" s="72"/>
      <c r="E14" s="72"/>
      <c r="F14" s="72"/>
      <c r="G14" s="72"/>
      <c r="H14" s="72"/>
      <c r="I14" s="72"/>
      <c r="J14" s="72"/>
      <c r="K14" s="72"/>
      <c r="L14" s="72" t="s">
        <v>60</v>
      </c>
      <c r="M14" s="75">
        <f>'Tabel 1.1'!B14</f>
        <v>4460</v>
      </c>
      <c r="N14" s="75">
        <f>'Tabel 1.1'!C14</f>
        <v>5631</v>
      </c>
      <c r="O14" s="72"/>
    </row>
    <row r="15" spans="1:15" x14ac:dyDescent="0.3">
      <c r="A15" s="72"/>
      <c r="B15" s="72"/>
      <c r="C15" s="72"/>
      <c r="D15" s="72"/>
      <c r="E15" s="72"/>
      <c r="F15" s="72"/>
      <c r="G15" s="72"/>
      <c r="H15" s="72"/>
      <c r="I15" s="72"/>
      <c r="J15" s="72"/>
      <c r="K15" s="72"/>
      <c r="L15" s="72" t="s">
        <v>61</v>
      </c>
      <c r="M15" s="75">
        <f>'Tabel 1.1'!B15</f>
        <v>1280022</v>
      </c>
      <c r="N15" s="75">
        <f>'Tabel 1.1'!C15</f>
        <v>1345481</v>
      </c>
      <c r="O15" s="72"/>
    </row>
    <row r="16" spans="1:15" x14ac:dyDescent="0.3">
      <c r="A16" s="72"/>
      <c r="B16" s="72"/>
      <c r="C16" s="72"/>
      <c r="D16" s="72"/>
      <c r="E16" s="72"/>
      <c r="F16" s="72"/>
      <c r="G16" s="72"/>
      <c r="H16" s="72"/>
      <c r="I16" s="72"/>
      <c r="J16" s="72"/>
      <c r="K16" s="72"/>
      <c r="L16" s="72" t="s">
        <v>62</v>
      </c>
      <c r="M16" s="75">
        <f>'Tabel 1.1'!B16</f>
        <v>349737.36647000001</v>
      </c>
      <c r="N16" s="75">
        <f>'Tabel 1.1'!C16</f>
        <v>397649.359</v>
      </c>
      <c r="O16" s="72"/>
    </row>
    <row r="17" spans="1:15" x14ac:dyDescent="0.3">
      <c r="A17" s="72"/>
      <c r="B17" s="72"/>
      <c r="C17" s="72"/>
      <c r="D17" s="72"/>
      <c r="E17" s="72"/>
      <c r="F17" s="72"/>
      <c r="G17" s="72"/>
      <c r="H17" s="72"/>
      <c r="I17" s="72"/>
      <c r="J17" s="72"/>
      <c r="K17" s="72"/>
      <c r="L17" s="72" t="s">
        <v>63</v>
      </c>
      <c r="M17" s="75">
        <f>'Tabel 1.1'!B17</f>
        <v>29736</v>
      </c>
      <c r="N17" s="75">
        <f>'Tabel 1.1'!C17</f>
        <v>28772</v>
      </c>
      <c r="O17" s="72"/>
    </row>
    <row r="18" spans="1:15" x14ac:dyDescent="0.3">
      <c r="A18" s="72"/>
      <c r="B18" s="72"/>
      <c r="C18" s="72"/>
      <c r="D18" s="72"/>
      <c r="E18" s="72"/>
      <c r="F18" s="72"/>
      <c r="G18" s="72"/>
      <c r="H18" s="72"/>
      <c r="I18" s="72"/>
      <c r="J18" s="72"/>
      <c r="K18" s="72"/>
      <c r="L18" s="72" t="s">
        <v>64</v>
      </c>
      <c r="M18" s="75">
        <f>'Tabel 1.1'!B18</f>
        <v>334860.86629999999</v>
      </c>
      <c r="N18" s="75">
        <f>'Tabel 1.1'!C18</f>
        <v>349378.46600000001</v>
      </c>
      <c r="O18" s="72"/>
    </row>
    <row r="19" spans="1:15" x14ac:dyDescent="0.3">
      <c r="A19" s="72"/>
      <c r="B19" s="72"/>
      <c r="C19" s="72"/>
      <c r="D19" s="72"/>
      <c r="E19" s="72"/>
      <c r="F19" s="72"/>
      <c r="G19" s="72"/>
      <c r="H19" s="72"/>
      <c r="I19" s="72"/>
      <c r="J19" s="72"/>
      <c r="K19" s="72"/>
      <c r="L19" s="72" t="s">
        <v>65</v>
      </c>
      <c r="M19" s="75">
        <f>'Tabel 1.1'!B19</f>
        <v>26078051.088160001</v>
      </c>
      <c r="N19" s="75">
        <f>'Tabel 1.1'!C19</f>
        <v>23695892.482170001</v>
      </c>
      <c r="O19" s="72"/>
    </row>
    <row r="20" spans="1:15" x14ac:dyDescent="0.3">
      <c r="A20" s="72"/>
      <c r="B20" s="72"/>
      <c r="C20" s="72"/>
      <c r="D20" s="72"/>
      <c r="E20" s="72"/>
      <c r="F20" s="72"/>
      <c r="G20" s="72"/>
      <c r="H20" s="72"/>
      <c r="I20" s="72"/>
      <c r="J20" s="72"/>
      <c r="K20" s="72"/>
      <c r="L20" s="72" t="s">
        <v>66</v>
      </c>
      <c r="M20" s="75">
        <f>'Tabel 1.1'!B20</f>
        <v>82464</v>
      </c>
      <c r="N20" s="75">
        <f>'Tabel 1.1'!C20</f>
        <v>61324</v>
      </c>
      <c r="O20" s="72"/>
    </row>
    <row r="21" spans="1:15" x14ac:dyDescent="0.3">
      <c r="A21" s="72"/>
      <c r="B21" s="72"/>
      <c r="C21" s="72"/>
      <c r="D21" s="72"/>
      <c r="E21" s="72"/>
      <c r="F21" s="72"/>
      <c r="G21" s="72"/>
      <c r="H21" s="72"/>
      <c r="I21" s="72"/>
      <c r="J21" s="72"/>
      <c r="K21" s="72"/>
      <c r="L21" s="72" t="s">
        <v>67</v>
      </c>
      <c r="M21" s="75">
        <f>'Tabel 1.1'!B21</f>
        <v>122502</v>
      </c>
      <c r="N21" s="75">
        <f>'Tabel 1.1'!C21</f>
        <v>138577.38699999999</v>
      </c>
      <c r="O21" s="72"/>
    </row>
    <row r="22" spans="1:15" x14ac:dyDescent="0.3">
      <c r="A22" s="72"/>
      <c r="B22" s="72"/>
      <c r="C22" s="72"/>
      <c r="D22" s="72"/>
      <c r="E22" s="72"/>
      <c r="F22" s="72"/>
      <c r="G22" s="72"/>
      <c r="H22" s="72"/>
      <c r="I22" s="72"/>
      <c r="J22" s="72"/>
      <c r="K22" s="72"/>
      <c r="L22" s="72" t="s">
        <v>68</v>
      </c>
      <c r="M22" s="75">
        <f>'Tabel 1.1'!B22</f>
        <v>22948</v>
      </c>
      <c r="N22" s="75">
        <f>'Tabel 1.1'!C22</f>
        <v>24813</v>
      </c>
      <c r="O22" s="72"/>
    </row>
    <row r="23" spans="1:15" x14ac:dyDescent="0.3">
      <c r="A23" s="72"/>
      <c r="B23" s="72"/>
      <c r="C23" s="72"/>
      <c r="D23" s="72"/>
      <c r="E23" s="72"/>
      <c r="F23" s="72"/>
      <c r="G23" s="72"/>
      <c r="H23" s="72"/>
      <c r="I23" s="72"/>
      <c r="J23" s="72"/>
      <c r="K23" s="72"/>
      <c r="L23" s="72" t="s">
        <v>69</v>
      </c>
      <c r="M23" s="75">
        <f>'Tabel 1.1'!B23</f>
        <v>1465</v>
      </c>
      <c r="N23" s="75">
        <f>'Tabel 1.1'!C23</f>
        <v>2011</v>
      </c>
      <c r="O23" s="72"/>
    </row>
    <row r="24" spans="1:15" x14ac:dyDescent="0.3">
      <c r="A24" s="72"/>
      <c r="B24" s="72"/>
      <c r="C24" s="72"/>
      <c r="D24" s="72"/>
      <c r="E24" s="72"/>
      <c r="F24" s="72"/>
      <c r="G24" s="72"/>
      <c r="H24" s="72"/>
      <c r="I24" s="72"/>
      <c r="J24" s="72"/>
      <c r="K24" s="72"/>
      <c r="L24" s="72" t="s">
        <v>70</v>
      </c>
      <c r="M24" s="75">
        <f>'Tabel 1.1'!B24</f>
        <v>1741415.5880896798</v>
      </c>
      <c r="N24" s="75">
        <f>'Tabel 1.1'!C24</f>
        <v>1209085.466300502</v>
      </c>
      <c r="O24" s="72"/>
    </row>
    <row r="25" spans="1:15" x14ac:dyDescent="0.3">
      <c r="A25" s="72"/>
      <c r="B25" s="72"/>
      <c r="C25" s="72"/>
      <c r="D25" s="72"/>
      <c r="E25" s="72"/>
      <c r="F25" s="72"/>
      <c r="G25" s="72"/>
      <c r="H25" s="72"/>
      <c r="I25" s="72"/>
      <c r="J25" s="72"/>
      <c r="K25" s="72"/>
      <c r="L25" s="72" t="s">
        <v>71</v>
      </c>
      <c r="M25" s="75">
        <f>'Tabel 1.1'!B25</f>
        <v>3324961</v>
      </c>
      <c r="N25" s="75">
        <f>'Tabel 1.1'!C25</f>
        <v>3152879</v>
      </c>
      <c r="O25" s="72"/>
    </row>
    <row r="26" spans="1:15" x14ac:dyDescent="0.3">
      <c r="A26" s="72"/>
      <c r="B26" s="72"/>
      <c r="C26" s="72"/>
      <c r="D26" s="72"/>
      <c r="E26" s="72"/>
      <c r="F26" s="72"/>
      <c r="G26" s="72"/>
      <c r="H26" s="72"/>
      <c r="I26" s="72"/>
      <c r="J26" s="72"/>
      <c r="K26" s="72"/>
      <c r="L26" s="72" t="s">
        <v>72</v>
      </c>
      <c r="M26" s="75">
        <f>'Tabel 1.1'!B27</f>
        <v>1933661.03204</v>
      </c>
      <c r="N26" s="75">
        <f>'Tabel 1.1'!C27</f>
        <v>2040328.4479700001</v>
      </c>
      <c r="O26" s="72"/>
    </row>
    <row r="27" spans="1:15" x14ac:dyDescent="0.3">
      <c r="A27" s="72"/>
      <c r="B27" s="72"/>
      <c r="C27" s="72"/>
      <c r="D27" s="72"/>
      <c r="E27" s="72"/>
      <c r="F27" s="72"/>
      <c r="G27" s="72"/>
      <c r="H27" s="72"/>
      <c r="I27" s="72"/>
      <c r="J27" s="72"/>
      <c r="K27" s="72"/>
      <c r="L27" s="72" t="s">
        <v>73</v>
      </c>
      <c r="M27" s="75">
        <f>'Tabel 1.1'!B28</f>
        <v>5604066.0920000002</v>
      </c>
      <c r="N27" s="75">
        <f>'Tabel 1.1'!C28</f>
        <v>4082640.2379999999</v>
      </c>
    </row>
    <row r="28" spans="1:15" x14ac:dyDescent="0.3">
      <c r="A28" s="72"/>
      <c r="B28" s="72"/>
      <c r="C28" s="72"/>
      <c r="D28" s="72"/>
      <c r="E28" s="72"/>
      <c r="F28" s="72"/>
      <c r="G28" s="72"/>
      <c r="H28" s="72"/>
      <c r="I28" s="72"/>
      <c r="J28" s="72"/>
      <c r="K28" s="72"/>
      <c r="L28" s="72" t="s">
        <v>74</v>
      </c>
      <c r="M28" s="75">
        <f>'Tabel 1.1'!B29</f>
        <v>25828</v>
      </c>
      <c r="N28" s="75">
        <f>'Tabel 1.1'!C29</f>
        <v>23751</v>
      </c>
    </row>
    <row r="29" spans="1:15" x14ac:dyDescent="0.3">
      <c r="A29" s="72"/>
      <c r="B29" s="72"/>
      <c r="C29" s="72"/>
      <c r="D29" s="72"/>
      <c r="E29" s="72"/>
      <c r="F29" s="72"/>
      <c r="G29" s="72"/>
      <c r="H29" s="72"/>
      <c r="I29" s="72"/>
      <c r="J29" s="72"/>
      <c r="K29" s="72"/>
      <c r="L29" s="72" t="s">
        <v>75</v>
      </c>
      <c r="M29" s="75">
        <f>'Tabel 1.1'!B30</f>
        <v>499374.44325000001</v>
      </c>
      <c r="N29" s="75">
        <f>'Tabel 1.1'!C30</f>
        <v>487718.42099999997</v>
      </c>
    </row>
    <row r="30" spans="1:15" x14ac:dyDescent="0.3">
      <c r="A30" s="73" t="s">
        <v>382</v>
      </c>
      <c r="B30" s="72"/>
      <c r="C30" s="72"/>
      <c r="D30" s="72"/>
      <c r="E30" s="72"/>
      <c r="F30" s="72"/>
      <c r="G30" s="72"/>
      <c r="H30" s="72"/>
      <c r="I30" s="77"/>
      <c r="J30" s="72"/>
      <c r="K30" s="72"/>
    </row>
    <row r="31" spans="1:15" x14ac:dyDescent="0.3">
      <c r="B31" s="72"/>
      <c r="C31" s="72"/>
      <c r="D31" s="72"/>
      <c r="E31" s="72"/>
      <c r="F31" s="72"/>
      <c r="G31" s="72"/>
      <c r="H31" s="72"/>
      <c r="I31" s="72"/>
      <c r="J31" s="72"/>
      <c r="K31" s="72"/>
    </row>
    <row r="32" spans="1:15" x14ac:dyDescent="0.3">
      <c r="B32" s="72"/>
      <c r="C32" s="72"/>
      <c r="D32" s="72"/>
      <c r="E32" s="72"/>
      <c r="F32" s="72"/>
      <c r="G32" s="72"/>
      <c r="H32" s="72"/>
      <c r="I32" s="72"/>
      <c r="J32" s="72"/>
      <c r="K32" s="72"/>
    </row>
    <row r="33" spans="1:15" x14ac:dyDescent="0.3">
      <c r="A33" s="72"/>
      <c r="B33" s="72"/>
      <c r="C33" s="72"/>
      <c r="D33" s="72"/>
      <c r="E33" s="72"/>
      <c r="F33" s="72"/>
      <c r="G33" s="72"/>
      <c r="H33" s="72"/>
      <c r="I33" s="72"/>
      <c r="J33" s="72"/>
      <c r="K33" s="72"/>
      <c r="L33" s="72" t="s">
        <v>54</v>
      </c>
    </row>
    <row r="34" spans="1:15" x14ac:dyDescent="0.3">
      <c r="A34" s="72"/>
      <c r="B34" s="72"/>
      <c r="C34" s="72"/>
      <c r="D34" s="72"/>
      <c r="E34" s="72"/>
      <c r="F34" s="72"/>
      <c r="G34" s="72"/>
      <c r="H34" s="72"/>
      <c r="I34" s="72"/>
      <c r="J34" s="72"/>
      <c r="K34" s="72"/>
      <c r="L34" s="72" t="s">
        <v>1</v>
      </c>
    </row>
    <row r="35" spans="1:15" x14ac:dyDescent="0.3">
      <c r="A35" s="72"/>
      <c r="B35" s="72"/>
      <c r="C35" s="72"/>
      <c r="D35" s="72"/>
      <c r="E35" s="72"/>
      <c r="F35" s="72"/>
      <c r="G35" s="72"/>
      <c r="H35" s="72"/>
      <c r="I35" s="72"/>
      <c r="J35" s="72"/>
      <c r="K35" s="72"/>
      <c r="M35" s="72">
        <v>2016</v>
      </c>
      <c r="N35" s="72">
        <v>2017</v>
      </c>
    </row>
    <row r="36" spans="1:15" x14ac:dyDescent="0.3">
      <c r="A36" s="72"/>
      <c r="B36" s="72"/>
      <c r="C36" s="72"/>
      <c r="D36" s="72"/>
      <c r="E36" s="72"/>
      <c r="F36" s="72"/>
      <c r="G36" s="72"/>
      <c r="H36" s="72"/>
      <c r="I36" s="72"/>
      <c r="J36" s="72"/>
      <c r="K36" s="72"/>
      <c r="L36" s="77" t="s">
        <v>56</v>
      </c>
      <c r="M36" s="76">
        <f>'Tabel 1.1'!B34</f>
        <v>1195735.773</v>
      </c>
      <c r="N36" s="76">
        <f>'Tabel 1.1'!C34</f>
        <v>1286598.7120000001</v>
      </c>
    </row>
    <row r="37" spans="1:15" x14ac:dyDescent="0.3">
      <c r="A37" s="72"/>
      <c r="B37" s="72"/>
      <c r="C37" s="72"/>
      <c r="D37" s="72"/>
      <c r="E37" s="72"/>
      <c r="F37" s="72"/>
      <c r="G37" s="72"/>
      <c r="H37" s="72"/>
      <c r="I37" s="72"/>
      <c r="J37" s="72"/>
      <c r="K37" s="72"/>
      <c r="L37" s="72" t="s">
        <v>57</v>
      </c>
      <c r="M37" s="76">
        <f>'Tabel 1.1'!B35</f>
        <v>5845636</v>
      </c>
      <c r="N37" s="76">
        <f>'Tabel 1.1'!C35</f>
        <v>6258891</v>
      </c>
    </row>
    <row r="38" spans="1:15" x14ac:dyDescent="0.3">
      <c r="A38" s="72"/>
      <c r="B38" s="72"/>
      <c r="C38" s="72"/>
      <c r="D38" s="72"/>
      <c r="E38" s="72"/>
      <c r="F38" s="72"/>
      <c r="G38" s="72"/>
      <c r="H38" s="72"/>
      <c r="I38" s="72"/>
      <c r="J38" s="72"/>
      <c r="K38" s="72"/>
      <c r="L38" s="72" t="s">
        <v>59</v>
      </c>
      <c r="M38" s="76">
        <f>'Tabel 1.1'!B36</f>
        <v>226726</v>
      </c>
      <c r="N38" s="76">
        <f>'Tabel 1.1'!C36</f>
        <v>255316</v>
      </c>
    </row>
    <row r="39" spans="1:15" x14ac:dyDescent="0.3">
      <c r="A39" s="72"/>
      <c r="B39" s="72"/>
      <c r="C39" s="72"/>
      <c r="D39" s="72"/>
      <c r="E39" s="72"/>
      <c r="F39" s="72"/>
      <c r="G39" s="72"/>
      <c r="H39" s="72"/>
      <c r="I39" s="72"/>
      <c r="J39" s="72"/>
      <c r="K39" s="72"/>
      <c r="L39" s="77" t="s">
        <v>62</v>
      </c>
      <c r="M39" s="76">
        <f>'Tabel 1.1'!B37</f>
        <v>1468168.62167</v>
      </c>
      <c r="N39" s="76">
        <f>'Tabel 1.1'!C37</f>
        <v>1851333.284</v>
      </c>
    </row>
    <row r="40" spans="1:15" x14ac:dyDescent="0.3">
      <c r="A40" s="72"/>
      <c r="B40" s="72"/>
      <c r="C40" s="72"/>
      <c r="D40" s="72"/>
      <c r="E40" s="72"/>
      <c r="F40" s="72"/>
      <c r="G40" s="72"/>
      <c r="H40" s="72"/>
      <c r="I40" s="72"/>
      <c r="J40" s="72"/>
      <c r="K40" s="72"/>
      <c r="L40" s="72" t="s">
        <v>65</v>
      </c>
      <c r="M40" s="76">
        <f>'Tabel 1.1'!B38</f>
        <v>110318.236</v>
      </c>
      <c r="N40" s="76">
        <f>'Tabel 1.1'!C38</f>
        <v>84881.887000000002</v>
      </c>
      <c r="O40" s="72"/>
    </row>
    <row r="41" spans="1:15" x14ac:dyDescent="0.3">
      <c r="A41" s="72"/>
      <c r="B41" s="72"/>
      <c r="C41" s="72"/>
      <c r="D41" s="72"/>
      <c r="E41" s="72"/>
      <c r="F41" s="72"/>
      <c r="G41" s="72"/>
      <c r="H41" s="72"/>
      <c r="I41" s="72"/>
      <c r="J41" s="72"/>
      <c r="K41" s="72"/>
      <c r="L41" s="77" t="s">
        <v>66</v>
      </c>
      <c r="M41" s="76">
        <f>'Tabel 1.1'!B39</f>
        <v>199650</v>
      </c>
      <c r="N41" s="76">
        <f>'Tabel 1.1'!C39</f>
        <v>262322</v>
      </c>
      <c r="O41" s="72"/>
    </row>
    <row r="42" spans="1:15" x14ac:dyDescent="0.3">
      <c r="A42" s="72"/>
      <c r="B42" s="72"/>
      <c r="C42" s="72"/>
      <c r="D42" s="72"/>
      <c r="E42" s="72"/>
      <c r="F42" s="72"/>
      <c r="G42" s="72"/>
      <c r="H42" s="72"/>
      <c r="I42" s="72"/>
      <c r="J42" s="72"/>
      <c r="K42" s="72"/>
      <c r="L42" s="77" t="s">
        <v>70</v>
      </c>
      <c r="M42" s="76">
        <f>'Tabel 1.1'!B40</f>
        <v>6359161.8999500005</v>
      </c>
      <c r="N42" s="76">
        <f>'Tabel 1.1'!C40</f>
        <v>6592823.6751499996</v>
      </c>
      <c r="O42" s="72"/>
    </row>
    <row r="43" spans="1:15" x14ac:dyDescent="0.3">
      <c r="A43" s="72"/>
      <c r="B43" s="72"/>
      <c r="C43" s="72"/>
      <c r="D43" s="72"/>
      <c r="E43" s="72"/>
      <c r="F43" s="72"/>
      <c r="G43" s="72"/>
      <c r="H43" s="72"/>
      <c r="I43" s="72"/>
      <c r="J43" s="72"/>
      <c r="K43" s="72"/>
      <c r="L43" s="77" t="s">
        <v>76</v>
      </c>
      <c r="M43" s="76">
        <f>'Tabel 1.1'!B41</f>
        <v>90696</v>
      </c>
      <c r="N43" s="76">
        <f>'Tabel 1.1'!C41</f>
        <v>84302</v>
      </c>
      <c r="O43" s="72"/>
    </row>
    <row r="44" spans="1:15" x14ac:dyDescent="0.3">
      <c r="A44" s="72"/>
      <c r="B44" s="72"/>
      <c r="C44" s="72"/>
      <c r="D44" s="72"/>
      <c r="E44" s="72"/>
      <c r="F44" s="72"/>
      <c r="G44" s="72"/>
      <c r="H44" s="72"/>
      <c r="I44" s="72"/>
      <c r="J44" s="72"/>
      <c r="K44" s="72"/>
      <c r="L44" s="72" t="s">
        <v>77</v>
      </c>
      <c r="M44" s="76">
        <f>'Tabel 1.1'!B42</f>
        <v>-0.69540974</v>
      </c>
      <c r="N44" s="76">
        <f>'Tabel 1.1'!C42</f>
        <v>0</v>
      </c>
      <c r="O44" s="72"/>
    </row>
    <row r="45" spans="1:15" x14ac:dyDescent="0.3">
      <c r="A45" s="72"/>
      <c r="B45" s="72"/>
      <c r="C45" s="72"/>
      <c r="D45" s="72"/>
      <c r="E45" s="72"/>
      <c r="F45" s="72"/>
      <c r="G45" s="72"/>
      <c r="H45" s="72"/>
      <c r="I45" s="72"/>
      <c r="J45" s="72"/>
      <c r="K45" s="72"/>
      <c r="L45" s="77" t="s">
        <v>72</v>
      </c>
      <c r="M45" s="76">
        <f>'Tabel 1.1'!B43</f>
        <v>1535857.55262</v>
      </c>
      <c r="N45" s="76">
        <f>'Tabel 1.1'!C43</f>
        <v>2157471.7934900001</v>
      </c>
      <c r="O45" s="72"/>
    </row>
    <row r="46" spans="1:15" x14ac:dyDescent="0.3">
      <c r="A46" s="72"/>
      <c r="B46" s="72"/>
      <c r="C46" s="72"/>
      <c r="D46" s="72"/>
      <c r="E46" s="72"/>
      <c r="F46" s="72"/>
      <c r="G46" s="72"/>
      <c r="H46" s="72"/>
      <c r="I46" s="72"/>
      <c r="J46" s="72"/>
      <c r="K46" s="72"/>
      <c r="L46" s="77" t="s">
        <v>78</v>
      </c>
      <c r="M46" s="76">
        <f>'Tabel 1.1'!B44</f>
        <v>7164503.4420000007</v>
      </c>
      <c r="N46" s="76">
        <f>'Tabel 1.1'!C44</f>
        <v>7537662.6210000012</v>
      </c>
      <c r="O46" s="72"/>
    </row>
    <row r="47" spans="1:15" x14ac:dyDescent="0.3">
      <c r="A47" s="72"/>
      <c r="B47" s="72"/>
      <c r="C47" s="72"/>
      <c r="D47" s="72"/>
      <c r="E47" s="72"/>
      <c r="F47" s="72"/>
      <c r="G47" s="72"/>
      <c r="H47" s="72"/>
      <c r="I47" s="72"/>
      <c r="J47" s="72"/>
      <c r="K47" s="72"/>
      <c r="L47" s="77"/>
      <c r="M47" s="76"/>
      <c r="N47" s="76"/>
      <c r="O47" s="72"/>
    </row>
    <row r="48" spans="1:15" x14ac:dyDescent="0.3">
      <c r="A48" s="72"/>
      <c r="B48" s="72"/>
      <c r="C48" s="72"/>
      <c r="D48" s="72"/>
      <c r="E48" s="72"/>
      <c r="F48" s="72"/>
      <c r="G48" s="72"/>
      <c r="H48" s="72"/>
      <c r="I48" s="72"/>
      <c r="J48" s="72"/>
      <c r="K48" s="72"/>
      <c r="M48" s="75"/>
      <c r="N48" s="75"/>
      <c r="O48" s="72"/>
    </row>
    <row r="49" spans="1:15" x14ac:dyDescent="0.3">
      <c r="A49" s="72"/>
      <c r="B49" s="72"/>
      <c r="C49" s="72"/>
      <c r="D49" s="72"/>
      <c r="E49" s="72"/>
      <c r="F49" s="72"/>
      <c r="G49" s="72"/>
      <c r="H49" s="72"/>
      <c r="I49" s="72"/>
      <c r="J49" s="72"/>
      <c r="K49" s="72"/>
      <c r="M49" s="75"/>
      <c r="N49" s="75"/>
      <c r="O49" s="72"/>
    </row>
    <row r="50" spans="1:15" x14ac:dyDescent="0.3">
      <c r="A50" s="72"/>
      <c r="B50" s="72"/>
      <c r="C50" s="72"/>
      <c r="D50" s="72"/>
      <c r="E50" s="72"/>
      <c r="F50" s="72"/>
      <c r="G50" s="72"/>
      <c r="H50" s="72"/>
      <c r="I50" s="72"/>
      <c r="J50" s="72"/>
      <c r="K50" s="72"/>
      <c r="M50" s="75"/>
      <c r="N50" s="75"/>
      <c r="O50" s="72"/>
    </row>
    <row r="51" spans="1:15" x14ac:dyDescent="0.3">
      <c r="A51" s="72"/>
      <c r="B51" s="72"/>
      <c r="C51" s="72"/>
      <c r="D51" s="72"/>
      <c r="E51" s="72"/>
      <c r="F51" s="72"/>
      <c r="G51" s="72"/>
      <c r="H51" s="72"/>
      <c r="I51" s="72"/>
      <c r="J51" s="72"/>
      <c r="K51" s="72"/>
      <c r="M51" s="75"/>
      <c r="N51" s="75"/>
      <c r="O51" s="72"/>
    </row>
    <row r="52" spans="1:15" x14ac:dyDescent="0.3">
      <c r="A52" s="72"/>
      <c r="B52" s="72"/>
      <c r="C52" s="72"/>
      <c r="D52" s="72"/>
      <c r="E52" s="72"/>
      <c r="F52" s="72"/>
      <c r="G52" s="72"/>
      <c r="H52" s="72"/>
      <c r="I52" s="72"/>
      <c r="J52" s="72"/>
      <c r="K52" s="72"/>
      <c r="O52" s="72"/>
    </row>
    <row r="53" spans="1:15" x14ac:dyDescent="0.3">
      <c r="A53" s="72"/>
      <c r="B53" s="72"/>
      <c r="C53" s="72"/>
      <c r="D53" s="72"/>
      <c r="E53" s="72"/>
      <c r="F53" s="72"/>
      <c r="G53" s="72"/>
      <c r="H53" s="72"/>
      <c r="I53" s="72"/>
      <c r="J53" s="72"/>
      <c r="K53" s="72"/>
      <c r="O53" s="72"/>
    </row>
    <row r="54" spans="1:15" x14ac:dyDescent="0.3">
      <c r="A54" s="72"/>
      <c r="B54" s="72"/>
      <c r="C54" s="72"/>
      <c r="D54" s="72"/>
      <c r="E54" s="72"/>
      <c r="F54" s="72"/>
      <c r="G54" s="72"/>
      <c r="H54" s="72"/>
      <c r="I54" s="72"/>
      <c r="J54" s="72"/>
      <c r="K54" s="72"/>
      <c r="O54" s="72"/>
    </row>
    <row r="55" spans="1:15" x14ac:dyDescent="0.3">
      <c r="A55" s="72"/>
      <c r="B55" s="72"/>
      <c r="C55" s="72"/>
      <c r="D55" s="72"/>
      <c r="E55" s="72"/>
      <c r="F55" s="72"/>
      <c r="G55" s="72"/>
      <c r="H55" s="72"/>
      <c r="I55" s="72"/>
      <c r="J55" s="72"/>
      <c r="K55" s="72"/>
      <c r="O55" s="72"/>
    </row>
    <row r="56" spans="1:15" x14ac:dyDescent="0.3">
      <c r="A56" s="73" t="s">
        <v>383</v>
      </c>
      <c r="B56" s="72"/>
      <c r="C56" s="72"/>
      <c r="D56" s="72"/>
      <c r="E56" s="72"/>
      <c r="F56" s="72"/>
      <c r="G56" s="72"/>
      <c r="H56" s="72"/>
      <c r="I56" s="77"/>
      <c r="J56" s="72"/>
      <c r="K56" s="72"/>
      <c r="O56" s="72"/>
    </row>
    <row r="57" spans="1:15" x14ac:dyDescent="0.3">
      <c r="A57" s="72"/>
      <c r="B57" s="72"/>
      <c r="C57" s="72"/>
      <c r="D57" s="72"/>
      <c r="E57" s="72"/>
      <c r="F57" s="72"/>
      <c r="G57" s="72"/>
      <c r="H57" s="72"/>
      <c r="I57" s="72"/>
      <c r="J57" s="72"/>
      <c r="K57" s="72"/>
      <c r="L57" s="72" t="s">
        <v>79</v>
      </c>
      <c r="O57" s="72"/>
    </row>
    <row r="58" spans="1:15" x14ac:dyDescent="0.3">
      <c r="A58" s="72"/>
      <c r="B58" s="72"/>
      <c r="C58" s="72"/>
      <c r="D58" s="72"/>
      <c r="E58" s="72"/>
      <c r="F58" s="72"/>
      <c r="G58" s="72"/>
      <c r="H58" s="72"/>
      <c r="I58" s="72"/>
      <c r="J58" s="72"/>
      <c r="K58" s="72"/>
      <c r="L58" s="72" t="s">
        <v>0</v>
      </c>
      <c r="O58" s="72"/>
    </row>
    <row r="59" spans="1:15" x14ac:dyDescent="0.3">
      <c r="A59" s="72"/>
      <c r="B59" s="72"/>
      <c r="C59" s="72"/>
      <c r="D59" s="72"/>
      <c r="E59" s="72"/>
      <c r="F59" s="72"/>
      <c r="G59" s="72"/>
      <c r="H59" s="72"/>
      <c r="I59" s="72"/>
      <c r="J59" s="72"/>
      <c r="K59" s="72"/>
      <c r="M59" s="72">
        <v>2016</v>
      </c>
      <c r="N59" s="72">
        <v>2017</v>
      </c>
      <c r="O59" s="72"/>
    </row>
    <row r="60" spans="1:15" x14ac:dyDescent="0.3">
      <c r="A60" s="72"/>
      <c r="B60" s="72"/>
      <c r="C60" s="72"/>
      <c r="D60" s="72"/>
      <c r="E60" s="72"/>
      <c r="F60" s="72"/>
      <c r="G60" s="72"/>
      <c r="H60" s="72"/>
      <c r="I60" s="72"/>
      <c r="J60" s="72"/>
      <c r="K60" s="72"/>
      <c r="L60" s="72" t="s">
        <v>56</v>
      </c>
      <c r="M60" s="75">
        <f>'Tabel 1.1'!G10</f>
        <v>921554.28399999999</v>
      </c>
      <c r="N60" s="75">
        <f>'Tabel 1.1'!H10</f>
        <v>1007145.416</v>
      </c>
      <c r="O60" s="72"/>
    </row>
    <row r="61" spans="1:15" x14ac:dyDescent="0.3">
      <c r="A61" s="72"/>
      <c r="B61" s="72"/>
      <c r="C61" s="72"/>
      <c r="D61" s="72"/>
      <c r="E61" s="72"/>
      <c r="F61" s="72"/>
      <c r="G61" s="72"/>
      <c r="H61" s="72"/>
      <c r="I61" s="72"/>
      <c r="J61" s="72"/>
      <c r="K61" s="72"/>
      <c r="L61" s="72" t="s">
        <v>57</v>
      </c>
      <c r="M61" s="75">
        <f>'Tabel 1.1'!G11</f>
        <v>205209654</v>
      </c>
      <c r="N61" s="75">
        <f>'Tabel 1.1'!H11</f>
        <v>202963024</v>
      </c>
      <c r="O61" s="72"/>
    </row>
    <row r="62" spans="1:15" x14ac:dyDescent="0.3">
      <c r="A62" s="72"/>
      <c r="B62" s="72"/>
      <c r="C62" s="72"/>
      <c r="D62" s="72"/>
      <c r="E62" s="72"/>
      <c r="F62" s="72"/>
      <c r="G62" s="72"/>
      <c r="H62" s="72"/>
      <c r="I62" s="72"/>
      <c r="J62" s="72"/>
      <c r="K62" s="72"/>
      <c r="L62" s="72" t="s">
        <v>58</v>
      </c>
      <c r="M62" s="75">
        <f>'Tabel 1.1'!G12</f>
        <v>0</v>
      </c>
      <c r="N62" s="75">
        <f>'Tabel 1.1'!H12</f>
        <v>0</v>
      </c>
      <c r="O62" s="72"/>
    </row>
    <row r="63" spans="1:15" x14ac:dyDescent="0.3">
      <c r="A63" s="72"/>
      <c r="B63" s="72"/>
      <c r="C63" s="72"/>
      <c r="D63" s="72"/>
      <c r="E63" s="72"/>
      <c r="F63" s="72"/>
      <c r="G63" s="72"/>
      <c r="H63" s="72"/>
      <c r="I63" s="72"/>
      <c r="J63" s="72"/>
      <c r="K63" s="72"/>
      <c r="L63" s="72" t="s">
        <v>59</v>
      </c>
      <c r="M63" s="75">
        <f>'Tabel 1.1'!G13</f>
        <v>738160</v>
      </c>
      <c r="N63" s="75">
        <f>'Tabel 1.1'!H13</f>
        <v>882143</v>
      </c>
      <c r="O63" s="72"/>
    </row>
    <row r="64" spans="1:15" x14ac:dyDescent="0.3">
      <c r="A64" s="72"/>
      <c r="B64" s="72"/>
      <c r="C64" s="72"/>
      <c r="D64" s="72"/>
      <c r="E64" s="72"/>
      <c r="F64" s="72"/>
      <c r="G64" s="72"/>
      <c r="H64" s="72"/>
      <c r="I64" s="72"/>
      <c r="J64" s="72"/>
      <c r="K64" s="72"/>
      <c r="L64" s="72" t="s">
        <v>61</v>
      </c>
      <c r="M64" s="75">
        <f>'Tabel 1.1'!G14</f>
        <v>0</v>
      </c>
      <c r="N64" s="75">
        <f>'Tabel 1.1'!H14</f>
        <v>0</v>
      </c>
      <c r="O64" s="72"/>
    </row>
    <row r="65" spans="1:15" x14ac:dyDescent="0.3">
      <c r="A65" s="72"/>
      <c r="B65" s="72"/>
      <c r="C65" s="72"/>
      <c r="D65" s="72"/>
      <c r="E65" s="72"/>
      <c r="F65" s="72"/>
      <c r="G65" s="72"/>
      <c r="H65" s="72"/>
      <c r="I65" s="72"/>
      <c r="J65" s="72"/>
      <c r="K65" s="72"/>
      <c r="L65" s="72" t="s">
        <v>62</v>
      </c>
      <c r="M65" s="75">
        <f>'Tabel 1.1'!G16</f>
        <v>5218584.7713399995</v>
      </c>
      <c r="N65" s="75">
        <f>'Tabel 1.1'!H16</f>
        <v>5849818.0779999997</v>
      </c>
      <c r="O65" s="72"/>
    </row>
    <row r="66" spans="1:15" x14ac:dyDescent="0.3">
      <c r="A66" s="72"/>
      <c r="B66" s="72"/>
      <c r="C66" s="72"/>
      <c r="D66" s="72"/>
      <c r="E66" s="72"/>
      <c r="F66" s="72"/>
      <c r="G66" s="72"/>
      <c r="H66" s="72"/>
      <c r="I66" s="72"/>
      <c r="J66" s="72"/>
      <c r="K66" s="72"/>
      <c r="L66" s="72" t="s">
        <v>63</v>
      </c>
      <c r="M66" s="75">
        <f>'Tabel 1.1'!G17</f>
        <v>23804</v>
      </c>
      <c r="N66" s="75">
        <f>'Tabel 1.1'!H17</f>
        <v>24751</v>
      </c>
      <c r="O66" s="72"/>
    </row>
    <row r="67" spans="1:15" x14ac:dyDescent="0.3">
      <c r="A67" s="72"/>
      <c r="B67" s="72"/>
      <c r="C67" s="72"/>
      <c r="D67" s="72"/>
      <c r="E67" s="72"/>
      <c r="F67" s="72"/>
      <c r="G67" s="72"/>
      <c r="H67" s="72"/>
      <c r="I67" s="72"/>
      <c r="J67" s="72"/>
      <c r="K67" s="72"/>
      <c r="L67" s="72" t="s">
        <v>64</v>
      </c>
      <c r="M67" s="75">
        <f>'Tabel 1.1'!G18</f>
        <v>0</v>
      </c>
      <c r="N67" s="75">
        <f>'Tabel 1.1'!H18</f>
        <v>0</v>
      </c>
      <c r="O67" s="72"/>
    </row>
    <row r="68" spans="1:15" x14ac:dyDescent="0.3">
      <c r="A68" s="72"/>
      <c r="B68" s="72"/>
      <c r="C68" s="72"/>
      <c r="D68" s="72"/>
      <c r="E68" s="72"/>
      <c r="F68" s="72"/>
      <c r="G68" s="72"/>
      <c r="H68" s="72"/>
      <c r="I68" s="72"/>
      <c r="J68" s="72"/>
      <c r="K68" s="72"/>
      <c r="L68" s="72" t="s">
        <v>65</v>
      </c>
      <c r="M68" s="75">
        <f>'Tabel 1.1'!G19</f>
        <v>416576263.68419999</v>
      </c>
      <c r="N68" s="75">
        <f>'Tabel 1.1'!H19</f>
        <v>439040297.38777</v>
      </c>
      <c r="O68" s="72"/>
    </row>
    <row r="69" spans="1:15" x14ac:dyDescent="0.3">
      <c r="A69" s="72"/>
      <c r="B69" s="72"/>
      <c r="C69" s="72"/>
      <c r="D69" s="72"/>
      <c r="E69" s="72"/>
      <c r="F69" s="72"/>
      <c r="G69" s="72"/>
      <c r="H69" s="72"/>
      <c r="I69" s="72"/>
      <c r="J69" s="72"/>
      <c r="K69" s="72"/>
      <c r="L69" s="72" t="s">
        <v>66</v>
      </c>
      <c r="M69" s="75">
        <f>'Tabel 1.1'!G20</f>
        <v>1465104</v>
      </c>
      <c r="N69" s="75">
        <f>'Tabel 1.1'!H20</f>
        <v>1539670</v>
      </c>
      <c r="O69" s="72"/>
    </row>
    <row r="70" spans="1:15" x14ac:dyDescent="0.3">
      <c r="A70" s="72"/>
      <c r="B70" s="72"/>
      <c r="C70" s="72"/>
      <c r="D70" s="72"/>
      <c r="E70" s="72"/>
      <c r="F70" s="72"/>
      <c r="G70" s="72"/>
      <c r="H70" s="72"/>
      <c r="I70" s="72"/>
      <c r="J70" s="72"/>
      <c r="K70" s="72"/>
      <c r="L70" s="72" t="s">
        <v>70</v>
      </c>
      <c r="M70" s="75">
        <f>'Tabel 1.1'!G24</f>
        <v>48325800.010000005</v>
      </c>
      <c r="N70" s="75">
        <f>'Tabel 1.1'!H24</f>
        <v>49512507.851999976</v>
      </c>
      <c r="O70" s="72"/>
    </row>
    <row r="71" spans="1:15" x14ac:dyDescent="0.3">
      <c r="A71" s="72"/>
      <c r="B71" s="72"/>
      <c r="C71" s="72"/>
      <c r="D71" s="72"/>
      <c r="E71" s="72"/>
      <c r="F71" s="72"/>
      <c r="G71" s="72"/>
      <c r="H71" s="72"/>
      <c r="I71" s="72"/>
      <c r="J71" s="72"/>
      <c r="K71" s="72"/>
      <c r="L71" s="72" t="s">
        <v>71</v>
      </c>
      <c r="M71" s="75">
        <f>'Tabel 1.1'!G25</f>
        <v>63722413</v>
      </c>
      <c r="N71" s="75">
        <f>'Tabel 1.1'!H25</f>
        <v>69246198</v>
      </c>
      <c r="O71" s="72"/>
    </row>
    <row r="72" spans="1:15" x14ac:dyDescent="0.3">
      <c r="A72" s="72"/>
      <c r="B72" s="72"/>
      <c r="C72" s="72"/>
      <c r="D72" s="72"/>
      <c r="E72" s="72"/>
      <c r="F72" s="72"/>
      <c r="G72" s="72"/>
      <c r="H72" s="72"/>
      <c r="I72" s="72"/>
      <c r="J72" s="72"/>
      <c r="K72" s="72"/>
      <c r="L72" s="72" t="s">
        <v>77</v>
      </c>
      <c r="M72" s="75">
        <f>'Tabel 1.1'!G26</f>
        <v>8663691.5365299992</v>
      </c>
      <c r="N72" s="75">
        <f>'Tabel 1.1'!H26</f>
        <v>0</v>
      </c>
      <c r="O72" s="72"/>
    </row>
    <row r="73" spans="1:15" x14ac:dyDescent="0.3">
      <c r="A73" s="72"/>
      <c r="B73" s="72"/>
      <c r="C73" s="72"/>
      <c r="D73" s="72"/>
      <c r="E73" s="72"/>
      <c r="F73" s="72"/>
      <c r="G73" s="72"/>
      <c r="H73" s="72"/>
      <c r="I73" s="72"/>
      <c r="J73" s="72"/>
      <c r="K73" s="72"/>
      <c r="L73" s="72" t="s">
        <v>72</v>
      </c>
      <c r="M73" s="75">
        <f>'Tabel 1.1'!G27</f>
        <v>16959011.261780001</v>
      </c>
      <c r="N73" s="75">
        <f>'Tabel 1.1'!H27</f>
        <v>17948766.884909999</v>
      </c>
      <c r="O73" s="72"/>
    </row>
    <row r="74" spans="1:15" x14ac:dyDescent="0.3">
      <c r="A74" s="72"/>
      <c r="B74" s="72"/>
      <c r="C74" s="72"/>
      <c r="D74" s="72"/>
      <c r="E74" s="72"/>
      <c r="F74" s="72"/>
      <c r="G74" s="72"/>
      <c r="H74" s="72"/>
      <c r="I74" s="72"/>
      <c r="J74" s="72"/>
      <c r="K74" s="72"/>
      <c r="L74" s="72" t="s">
        <v>73</v>
      </c>
      <c r="M74" s="75">
        <f>'Tabel 1.1'!G28</f>
        <v>175999064.08508003</v>
      </c>
      <c r="N74" s="75">
        <f>'Tabel 1.1'!H28</f>
        <v>176373831.59999999</v>
      </c>
      <c r="O74" s="72"/>
    </row>
    <row r="75" spans="1:15" x14ac:dyDescent="0.3">
      <c r="A75" s="72"/>
      <c r="B75" s="72"/>
      <c r="C75" s="72"/>
      <c r="D75" s="72"/>
      <c r="E75" s="72"/>
      <c r="F75" s="72"/>
      <c r="G75" s="72"/>
      <c r="H75" s="72"/>
      <c r="I75" s="72"/>
      <c r="J75" s="72"/>
      <c r="K75" s="72"/>
      <c r="O75" s="72"/>
    </row>
    <row r="76" spans="1:15" x14ac:dyDescent="0.3">
      <c r="A76" s="72"/>
      <c r="B76" s="72"/>
      <c r="C76" s="72"/>
      <c r="D76" s="72"/>
      <c r="E76" s="72"/>
      <c r="F76" s="72"/>
      <c r="G76" s="72"/>
      <c r="H76" s="72"/>
      <c r="I76" s="72"/>
      <c r="J76" s="72"/>
      <c r="K76" s="72"/>
      <c r="O76" s="72"/>
    </row>
    <row r="77" spans="1:15" x14ac:dyDescent="0.3">
      <c r="A77" s="72"/>
      <c r="B77" s="72"/>
      <c r="C77" s="72"/>
      <c r="D77" s="72"/>
      <c r="E77" s="72"/>
      <c r="F77" s="72"/>
      <c r="G77" s="72"/>
      <c r="H77" s="72"/>
      <c r="I77" s="72"/>
      <c r="J77" s="72"/>
      <c r="K77" s="72"/>
      <c r="O77" s="72"/>
    </row>
    <row r="78" spans="1:15" x14ac:dyDescent="0.3">
      <c r="A78" s="72"/>
      <c r="B78" s="72"/>
      <c r="C78" s="72"/>
      <c r="D78" s="72"/>
      <c r="E78" s="72"/>
      <c r="F78" s="72"/>
      <c r="G78" s="72"/>
      <c r="H78" s="72"/>
      <c r="I78" s="72"/>
      <c r="J78" s="72"/>
      <c r="K78" s="72"/>
      <c r="O78" s="72"/>
    </row>
    <row r="79" spans="1:15" x14ac:dyDescent="0.3">
      <c r="A79" s="72"/>
      <c r="B79" s="72"/>
      <c r="C79" s="72"/>
      <c r="D79" s="72"/>
      <c r="E79" s="72"/>
      <c r="F79" s="72"/>
      <c r="G79" s="72"/>
      <c r="H79" s="72"/>
      <c r="I79" s="72"/>
      <c r="J79" s="72"/>
      <c r="K79" s="72"/>
      <c r="O79" s="72"/>
    </row>
    <row r="80" spans="1:15" x14ac:dyDescent="0.3">
      <c r="A80" s="72"/>
      <c r="B80" s="72"/>
      <c r="C80" s="72"/>
      <c r="D80" s="72"/>
      <c r="E80" s="72"/>
      <c r="F80" s="72"/>
      <c r="G80" s="72"/>
      <c r="H80" s="72"/>
      <c r="I80" s="72"/>
      <c r="J80" s="72"/>
      <c r="K80" s="72"/>
      <c r="O80" s="72"/>
    </row>
    <row r="81" spans="1:15" x14ac:dyDescent="0.3">
      <c r="A81" s="73" t="s">
        <v>384</v>
      </c>
      <c r="B81" s="72"/>
      <c r="C81" s="72"/>
      <c r="D81" s="72"/>
      <c r="E81" s="72"/>
      <c r="F81" s="72"/>
      <c r="G81" s="72"/>
      <c r="H81" s="72"/>
      <c r="I81" s="77"/>
      <c r="J81" s="72"/>
      <c r="K81" s="72"/>
      <c r="O81" s="72"/>
    </row>
    <row r="82" spans="1:15" x14ac:dyDescent="0.3">
      <c r="B82" s="72"/>
      <c r="C82" s="72"/>
      <c r="D82" s="72"/>
      <c r="E82" s="72"/>
      <c r="F82" s="72"/>
      <c r="G82" s="72"/>
      <c r="H82" s="72"/>
      <c r="I82" s="72"/>
      <c r="J82" s="72"/>
      <c r="K82" s="72"/>
      <c r="L82" s="72" t="s">
        <v>79</v>
      </c>
      <c r="O82" s="72"/>
    </row>
    <row r="83" spans="1:15" x14ac:dyDescent="0.3">
      <c r="A83" s="72"/>
      <c r="B83" s="72"/>
      <c r="C83" s="72"/>
      <c r="D83" s="72"/>
      <c r="E83" s="72"/>
      <c r="F83" s="72"/>
      <c r="G83" s="72"/>
      <c r="H83" s="72"/>
      <c r="I83" s="72"/>
      <c r="J83" s="72"/>
      <c r="K83" s="72"/>
      <c r="L83" s="72" t="s">
        <v>1</v>
      </c>
      <c r="O83" s="72"/>
    </row>
    <row r="84" spans="1:15" x14ac:dyDescent="0.3">
      <c r="A84" s="72"/>
      <c r="B84" s="72"/>
      <c r="C84" s="72"/>
      <c r="D84" s="72"/>
      <c r="E84" s="72"/>
      <c r="F84" s="72"/>
      <c r="G84" s="72"/>
      <c r="H84" s="72"/>
      <c r="I84" s="72"/>
      <c r="J84" s="72"/>
      <c r="K84" s="72"/>
      <c r="M84" s="72">
        <v>2016</v>
      </c>
      <c r="N84" s="72">
        <v>2017</v>
      </c>
      <c r="O84" s="72"/>
    </row>
    <row r="85" spans="1:15" x14ac:dyDescent="0.3">
      <c r="A85" s="72"/>
      <c r="B85" s="72"/>
      <c r="C85" s="72"/>
      <c r="D85" s="72"/>
      <c r="E85" s="72"/>
      <c r="F85" s="72"/>
      <c r="G85" s="72"/>
      <c r="H85" s="72"/>
      <c r="I85" s="72"/>
      <c r="J85" s="72"/>
      <c r="K85" s="72"/>
      <c r="L85" s="72" t="s">
        <v>56</v>
      </c>
      <c r="M85" s="75">
        <f>'Tabel 1.1'!G34</f>
        <v>13128957.816</v>
      </c>
      <c r="N85" s="75">
        <f>'Tabel 1.1'!H34</f>
        <v>16087298.015000001</v>
      </c>
      <c r="O85" s="72"/>
    </row>
    <row r="86" spans="1:15" x14ac:dyDescent="0.3">
      <c r="B86" s="72"/>
      <c r="C86" s="72"/>
      <c r="D86" s="72"/>
      <c r="E86" s="72"/>
      <c r="F86" s="72"/>
      <c r="G86" s="72"/>
      <c r="H86" s="72"/>
      <c r="I86" s="72"/>
      <c r="J86" s="72"/>
      <c r="K86" s="72"/>
      <c r="L86" s="72" t="s">
        <v>57</v>
      </c>
      <c r="M86" s="75">
        <f>'Tabel 1.1'!G35</f>
        <v>56416731</v>
      </c>
      <c r="N86" s="75">
        <f>'Tabel 1.1'!H35</f>
        <v>70689761</v>
      </c>
      <c r="O86" s="72"/>
    </row>
    <row r="87" spans="1:15" x14ac:dyDescent="0.3">
      <c r="B87" s="72"/>
      <c r="C87" s="72"/>
      <c r="D87" s="72"/>
      <c r="E87" s="72"/>
      <c r="F87" s="72"/>
      <c r="G87" s="72"/>
      <c r="H87" s="72"/>
      <c r="I87" s="72"/>
      <c r="J87" s="72"/>
      <c r="K87" s="72"/>
      <c r="L87" s="72" t="s">
        <v>59</v>
      </c>
      <c r="M87" s="75">
        <f>'Tabel 1.1'!G36</f>
        <v>2500425</v>
      </c>
      <c r="N87" s="75">
        <f>'Tabel 1.1'!H36</f>
        <v>3022527.8</v>
      </c>
      <c r="O87" s="72"/>
    </row>
    <row r="88" spans="1:15" x14ac:dyDescent="0.3">
      <c r="B88" s="72"/>
      <c r="C88" s="72"/>
      <c r="D88" s="72"/>
      <c r="E88" s="72"/>
      <c r="F88" s="72"/>
      <c r="G88" s="72"/>
      <c r="H88" s="72"/>
      <c r="I88" s="72"/>
      <c r="J88" s="72"/>
      <c r="K88" s="72"/>
      <c r="L88" s="77" t="s">
        <v>62</v>
      </c>
      <c r="M88" s="75">
        <f>'Tabel 1.1'!G37</f>
        <v>16856721.39872</v>
      </c>
      <c r="N88" s="75">
        <f>'Tabel 1.1'!H37</f>
        <v>21451220.490000002</v>
      </c>
      <c r="O88" s="72"/>
    </row>
    <row r="89" spans="1:15" x14ac:dyDescent="0.3">
      <c r="B89" s="72"/>
      <c r="C89" s="72"/>
      <c r="D89" s="72"/>
      <c r="E89" s="72"/>
      <c r="F89" s="72"/>
      <c r="G89" s="72"/>
      <c r="H89" s="72"/>
      <c r="I89" s="72"/>
      <c r="J89" s="72"/>
      <c r="K89" s="72"/>
      <c r="L89" s="72" t="s">
        <v>65</v>
      </c>
      <c r="M89" s="75">
        <f>'Tabel 1.1'!G38</f>
        <v>2160404.7961499998</v>
      </c>
      <c r="N89" s="75">
        <f>'Tabel 1.1'!H38</f>
        <v>2330198.9161499999</v>
      </c>
      <c r="O89" s="72"/>
    </row>
    <row r="90" spans="1:15" x14ac:dyDescent="0.3">
      <c r="B90" s="72"/>
      <c r="C90" s="72"/>
      <c r="D90" s="72"/>
      <c r="E90" s="72"/>
      <c r="F90" s="72"/>
      <c r="G90" s="72"/>
      <c r="H90" s="72"/>
      <c r="I90" s="72"/>
      <c r="J90" s="72"/>
      <c r="K90" s="72"/>
      <c r="L90" s="72" t="s">
        <v>66</v>
      </c>
      <c r="M90" s="75">
        <f>'Tabel 1.1'!G39</f>
        <v>1486637</v>
      </c>
      <c r="N90" s="75">
        <f>'Tabel 1.1'!H39</f>
        <v>2432471</v>
      </c>
      <c r="O90" s="72"/>
    </row>
    <row r="91" spans="1:15" x14ac:dyDescent="0.3">
      <c r="B91" s="72"/>
      <c r="C91" s="72"/>
      <c r="D91" s="72"/>
      <c r="E91" s="72"/>
      <c r="F91" s="72"/>
      <c r="G91" s="72"/>
      <c r="H91" s="72"/>
      <c r="I91" s="72"/>
      <c r="J91" s="72"/>
      <c r="K91" s="72"/>
      <c r="L91" s="72" t="s">
        <v>70</v>
      </c>
      <c r="M91" s="75">
        <f>'Tabel 1.1'!G40</f>
        <v>44252990</v>
      </c>
      <c r="N91" s="75">
        <f>'Tabel 1.1'!H40</f>
        <v>54647570</v>
      </c>
      <c r="O91" s="72"/>
    </row>
    <row r="92" spans="1:15" x14ac:dyDescent="0.3">
      <c r="A92" s="72"/>
      <c r="B92" s="72"/>
      <c r="C92" s="72"/>
      <c r="D92" s="72"/>
      <c r="E92" s="72"/>
      <c r="F92" s="72"/>
      <c r="G92" s="72"/>
      <c r="H92" s="72"/>
      <c r="I92" s="72"/>
      <c r="J92" s="72"/>
      <c r="K92" s="72"/>
      <c r="L92" s="72" t="s">
        <v>76</v>
      </c>
      <c r="M92" s="75">
        <f>'Tabel 1.1'!G41</f>
        <v>1612357</v>
      </c>
      <c r="N92" s="75">
        <f>'Tabel 1.1'!H41</f>
        <v>1949500</v>
      </c>
      <c r="O92" s="72"/>
    </row>
    <row r="93" spans="1:15" x14ac:dyDescent="0.3">
      <c r="A93" s="72"/>
      <c r="B93" s="72"/>
      <c r="C93" s="72"/>
      <c r="D93" s="72"/>
      <c r="E93" s="72"/>
      <c r="F93" s="72"/>
      <c r="G93" s="72"/>
      <c r="H93" s="72"/>
      <c r="I93" s="72"/>
      <c r="J93" s="72"/>
      <c r="K93" s="72"/>
      <c r="L93" s="72" t="s">
        <v>77</v>
      </c>
      <c r="M93" s="75">
        <f>'Tabel 1.1'!G42</f>
        <v>432248.26272</v>
      </c>
      <c r="N93" s="75">
        <f>'Tabel 1.1'!H42</f>
        <v>0</v>
      </c>
      <c r="O93" s="72"/>
    </row>
    <row r="94" spans="1:15" ht="18.75" customHeight="1" x14ac:dyDescent="0.3">
      <c r="A94" s="72"/>
      <c r="B94" s="72"/>
      <c r="C94" s="72"/>
      <c r="D94" s="72"/>
      <c r="E94" s="72"/>
      <c r="F94" s="72"/>
      <c r="G94" s="72"/>
      <c r="H94" s="72"/>
      <c r="I94" s="72"/>
      <c r="J94" s="72"/>
      <c r="K94" s="72"/>
      <c r="L94" s="72" t="s">
        <v>72</v>
      </c>
      <c r="M94" s="75">
        <f>'Tabel 1.1'!G43</f>
        <v>18158905.377149999</v>
      </c>
      <c r="N94" s="75">
        <f>'Tabel 1.1'!H43</f>
        <v>23504999.904489998</v>
      </c>
      <c r="O94" s="72"/>
    </row>
    <row r="95" spans="1:15" ht="18.75" customHeight="1" x14ac:dyDescent="0.3">
      <c r="A95" s="72"/>
      <c r="B95" s="72"/>
      <c r="C95" s="72"/>
      <c r="D95" s="72"/>
      <c r="E95" s="72"/>
      <c r="F95" s="72"/>
      <c r="G95" s="72"/>
      <c r="H95" s="72"/>
      <c r="I95" s="72"/>
      <c r="J95" s="72"/>
      <c r="K95" s="72"/>
      <c r="L95" s="72" t="s">
        <v>78</v>
      </c>
      <c r="M95" s="75">
        <f>'Tabel 1.1'!G44</f>
        <v>61277517.591000006</v>
      </c>
      <c r="N95" s="75">
        <f>'Tabel 1.1'!H44</f>
        <v>75354538.838</v>
      </c>
      <c r="O95" s="72"/>
    </row>
    <row r="96" spans="1:15" ht="18.75" customHeight="1" x14ac:dyDescent="0.3">
      <c r="A96" s="72"/>
      <c r="B96" s="72"/>
      <c r="C96" s="72"/>
      <c r="D96" s="72"/>
      <c r="E96" s="72"/>
      <c r="F96" s="72"/>
      <c r="G96" s="72"/>
      <c r="H96" s="72"/>
      <c r="I96" s="72"/>
      <c r="J96" s="72"/>
      <c r="K96" s="72"/>
      <c r="M96" s="75"/>
      <c r="O96" s="72"/>
    </row>
    <row r="97" spans="1:17" ht="18.75" customHeight="1" x14ac:dyDescent="0.3">
      <c r="A97" s="72"/>
      <c r="B97" s="72"/>
      <c r="C97" s="72"/>
      <c r="D97" s="72"/>
      <c r="E97" s="72"/>
      <c r="F97" s="72"/>
      <c r="G97" s="72"/>
      <c r="H97" s="72"/>
      <c r="I97" s="72"/>
      <c r="J97" s="72"/>
      <c r="K97" s="72"/>
      <c r="O97" s="72"/>
    </row>
    <row r="98" spans="1:17" ht="18.75" customHeight="1" x14ac:dyDescent="0.3">
      <c r="A98" s="72"/>
      <c r="B98" s="72"/>
      <c r="C98" s="72"/>
      <c r="D98" s="72"/>
      <c r="E98" s="72"/>
      <c r="F98" s="72"/>
      <c r="G98" s="72"/>
      <c r="H98" s="72"/>
      <c r="I98" s="72"/>
      <c r="J98" s="72"/>
      <c r="K98" s="72"/>
      <c r="O98" s="72"/>
    </row>
    <row r="99" spans="1:17" ht="18.75" customHeight="1" x14ac:dyDescent="0.3">
      <c r="A99" s="72"/>
      <c r="B99" s="72"/>
      <c r="C99" s="72"/>
      <c r="D99" s="72"/>
      <c r="E99" s="72"/>
      <c r="F99" s="72"/>
      <c r="G99" s="72"/>
      <c r="H99" s="72"/>
      <c r="I99" s="72"/>
      <c r="J99" s="72"/>
      <c r="K99" s="72"/>
      <c r="O99" s="72"/>
      <c r="Q99" s="72"/>
    </row>
    <row r="100" spans="1:17" ht="18.75" customHeight="1" x14ac:dyDescent="0.3">
      <c r="A100" s="72"/>
      <c r="B100" s="72"/>
      <c r="C100" s="72"/>
      <c r="D100" s="72"/>
      <c r="E100" s="72"/>
      <c r="F100" s="72"/>
      <c r="G100" s="72"/>
      <c r="H100" s="72"/>
      <c r="I100" s="72"/>
      <c r="J100" s="72"/>
      <c r="K100" s="72"/>
      <c r="O100" s="72"/>
      <c r="Q100" s="72"/>
    </row>
    <row r="101" spans="1:17" ht="18.75" customHeight="1" x14ac:dyDescent="0.3">
      <c r="A101" s="72"/>
      <c r="B101" s="72"/>
      <c r="C101" s="72"/>
      <c r="D101" s="72"/>
      <c r="E101" s="72"/>
      <c r="F101" s="72"/>
      <c r="G101" s="72"/>
      <c r="H101" s="72"/>
      <c r="I101" s="72"/>
      <c r="J101" s="72"/>
      <c r="K101" s="72"/>
      <c r="O101" s="72"/>
      <c r="Q101" s="72"/>
    </row>
    <row r="102" spans="1:17" ht="18.75" customHeight="1" x14ac:dyDescent="0.3">
      <c r="A102" s="72"/>
      <c r="B102" s="72"/>
      <c r="C102" s="72"/>
      <c r="D102" s="72"/>
      <c r="E102" s="72"/>
      <c r="F102" s="72"/>
      <c r="G102" s="72"/>
      <c r="H102" s="72"/>
      <c r="I102" s="72"/>
      <c r="J102" s="72"/>
      <c r="K102" s="72"/>
      <c r="O102" s="72"/>
      <c r="Q102" s="72"/>
    </row>
    <row r="103" spans="1:17" ht="18.75" customHeight="1" x14ac:dyDescent="0.3">
      <c r="A103" s="72"/>
      <c r="B103" s="72"/>
      <c r="C103" s="72"/>
      <c r="D103" s="72"/>
      <c r="E103" s="72"/>
      <c r="F103" s="72"/>
      <c r="G103" s="72"/>
      <c r="H103" s="72"/>
      <c r="I103" s="72"/>
      <c r="J103" s="72"/>
      <c r="K103" s="72"/>
      <c r="O103" s="72"/>
      <c r="Q103" s="72"/>
    </row>
    <row r="104" spans="1:17" ht="18.75" customHeight="1" x14ac:dyDescent="0.3">
      <c r="A104" s="72"/>
      <c r="B104" s="72"/>
      <c r="C104" s="72"/>
      <c r="D104" s="72"/>
      <c r="E104" s="72"/>
      <c r="F104" s="72"/>
      <c r="G104" s="72"/>
      <c r="H104" s="72"/>
      <c r="I104" s="72"/>
      <c r="J104" s="72"/>
      <c r="K104" s="72"/>
      <c r="O104" s="72"/>
      <c r="Q104" s="72"/>
    </row>
    <row r="105" spans="1:17" ht="18.75" customHeight="1" x14ac:dyDescent="0.3">
      <c r="A105" s="72"/>
      <c r="B105" s="72"/>
      <c r="C105" s="72"/>
      <c r="D105" s="72"/>
      <c r="E105" s="72"/>
      <c r="F105" s="72"/>
      <c r="G105" s="72"/>
      <c r="H105" s="72"/>
      <c r="I105" s="72"/>
      <c r="J105" s="72"/>
      <c r="K105" s="72"/>
      <c r="O105" s="72"/>
      <c r="Q105" s="72"/>
    </row>
    <row r="106" spans="1:17" ht="18.75" customHeight="1" x14ac:dyDescent="0.3">
      <c r="A106" s="72"/>
      <c r="B106" s="72"/>
      <c r="C106" s="72"/>
      <c r="D106" s="72"/>
      <c r="E106" s="72"/>
      <c r="F106" s="72"/>
      <c r="G106" s="72"/>
      <c r="H106" s="72"/>
      <c r="I106" s="72"/>
      <c r="J106" s="72"/>
      <c r="K106" s="72"/>
      <c r="O106" s="72"/>
      <c r="Q106" s="72"/>
    </row>
    <row r="107" spans="1:17" ht="18.75" customHeight="1" x14ac:dyDescent="0.3">
      <c r="A107" s="72"/>
      <c r="B107" s="72"/>
      <c r="C107" s="72"/>
      <c r="D107" s="72"/>
      <c r="E107" s="72"/>
      <c r="F107" s="72"/>
      <c r="G107" s="72"/>
      <c r="H107" s="72"/>
      <c r="I107" s="72"/>
      <c r="J107" s="72"/>
      <c r="K107" s="72"/>
      <c r="O107" s="72"/>
      <c r="Q107" s="72"/>
    </row>
    <row r="108" spans="1:17" ht="18.75" customHeight="1" x14ac:dyDescent="0.3">
      <c r="A108" s="73" t="s">
        <v>385</v>
      </c>
      <c r="B108" s="72"/>
      <c r="C108" s="72"/>
      <c r="D108" s="72"/>
      <c r="E108" s="72"/>
      <c r="F108" s="72"/>
      <c r="G108" s="72"/>
      <c r="H108" s="77"/>
      <c r="I108" s="72"/>
      <c r="J108" s="72"/>
      <c r="K108" s="72"/>
      <c r="O108" s="72"/>
      <c r="Q108" s="72"/>
    </row>
    <row r="109" spans="1:17" ht="18.75" customHeight="1" x14ac:dyDescent="0.3">
      <c r="A109" s="72"/>
      <c r="B109" s="72"/>
      <c r="C109" s="72"/>
      <c r="D109" s="72"/>
      <c r="E109" s="72"/>
      <c r="F109" s="72"/>
      <c r="G109" s="72"/>
      <c r="H109" s="72"/>
      <c r="I109" s="72"/>
      <c r="J109" s="72"/>
      <c r="K109" s="72"/>
      <c r="L109" s="72" t="s">
        <v>80</v>
      </c>
      <c r="O109" s="72"/>
      <c r="Q109" s="72"/>
    </row>
    <row r="110" spans="1:17" ht="18.75" customHeight="1" x14ac:dyDescent="0.3">
      <c r="A110" s="72"/>
      <c r="B110" s="72"/>
      <c r="C110" s="72"/>
      <c r="D110" s="72"/>
      <c r="E110" s="72"/>
      <c r="F110" s="72"/>
      <c r="G110" s="72"/>
      <c r="H110" s="72"/>
      <c r="I110" s="72"/>
      <c r="J110" s="72"/>
      <c r="K110" s="72"/>
      <c r="L110" s="72" t="s">
        <v>0</v>
      </c>
      <c r="O110" s="72"/>
      <c r="Q110" s="72"/>
    </row>
    <row r="111" spans="1:17" ht="18.75" customHeight="1" x14ac:dyDescent="0.3">
      <c r="A111" s="72"/>
      <c r="B111" s="72"/>
      <c r="C111" s="72"/>
      <c r="D111" s="72"/>
      <c r="E111" s="72"/>
      <c r="F111" s="72"/>
      <c r="G111" s="72"/>
      <c r="H111" s="72"/>
      <c r="I111" s="72"/>
      <c r="J111" s="72"/>
      <c r="K111" s="72"/>
      <c r="M111" s="72">
        <v>2016</v>
      </c>
      <c r="N111" s="72">
        <v>2017</v>
      </c>
      <c r="O111" s="72"/>
      <c r="Q111" s="72"/>
    </row>
    <row r="112" spans="1:17" ht="18.75" customHeight="1" x14ac:dyDescent="0.3">
      <c r="A112" s="72"/>
      <c r="B112" s="72"/>
      <c r="C112" s="72"/>
      <c r="D112" s="72"/>
      <c r="E112" s="72"/>
      <c r="F112" s="72"/>
      <c r="G112" s="72"/>
      <c r="H112" s="72"/>
      <c r="I112" s="72"/>
      <c r="J112" s="72"/>
      <c r="K112" s="72"/>
      <c r="L112" s="72" t="s">
        <v>56</v>
      </c>
      <c r="M112" s="75">
        <f>'Danica Pensjonsforsikring'!B11-'Danica Pensjonsforsikring'!B12+'Danica Pensjonsforsikring'!B32-'Danica Pensjonsforsikring'!B33+'Danica Pensjonsforsikring'!B36-'Danica Pensjonsforsikring'!B37+'Danica Pensjonsforsikring'!B109-'Danica Pensjonsforsikring'!B117+'Danica Pensjonsforsikring'!B134-'Danica Pensjonsforsikring'!B135</f>
        <v>-13818.659000000003</v>
      </c>
      <c r="N112" s="75">
        <f>'Danica Pensjonsforsikring'!C11-'Danica Pensjonsforsikring'!C12+'Danica Pensjonsforsikring'!C32-'Danica Pensjonsforsikring'!C33+'Danica Pensjonsforsikring'!C36-'Danica Pensjonsforsikring'!C37+'Danica Pensjonsforsikring'!C109-'Danica Pensjonsforsikring'!C117+'Danica Pensjonsforsikring'!C134-'Danica Pensjonsforsikring'!C135</f>
        <v>8925.6419999999998</v>
      </c>
      <c r="O112" s="72"/>
      <c r="Q112" s="72"/>
    </row>
    <row r="113" spans="1:17" ht="18.75" customHeight="1" x14ac:dyDescent="0.3">
      <c r="A113" s="72"/>
      <c r="B113" s="72"/>
      <c r="C113" s="72"/>
      <c r="D113" s="72"/>
      <c r="E113" s="72"/>
      <c r="F113" s="72"/>
      <c r="G113" s="72"/>
      <c r="H113" s="72"/>
      <c r="I113" s="72"/>
      <c r="J113" s="72"/>
      <c r="K113" s="72"/>
      <c r="L113" s="72" t="s">
        <v>57</v>
      </c>
      <c r="M113" s="75">
        <f>'DNB Livsforsikring'!B11-'DNB Livsforsikring'!B12+'DNB Livsforsikring'!B32-'DNB Livsforsikring'!B33+'DNB Livsforsikring'!B36-'DNB Livsforsikring'!B37+'DNB Livsforsikring'!B109-'DNB Livsforsikring'!B117+'DNB Livsforsikring'!B134-'DNB Livsforsikring'!B135</f>
        <v>339103</v>
      </c>
      <c r="N113" s="75">
        <f>'DNB Livsforsikring'!C11-'DNB Livsforsikring'!C12+'DNB Livsforsikring'!C32-'DNB Livsforsikring'!C33+'DNB Livsforsikring'!C36-'DNB Livsforsikring'!C37+'DNB Livsforsikring'!C109-'DNB Livsforsikring'!C117+'DNB Livsforsikring'!C134-'DNB Livsforsikring'!C135</f>
        <v>384120</v>
      </c>
      <c r="O113" s="72"/>
      <c r="Q113" s="72"/>
    </row>
    <row r="114" spans="1:17" ht="18.75" customHeight="1" x14ac:dyDescent="0.3">
      <c r="A114" s="72"/>
      <c r="B114" s="72"/>
      <c r="C114" s="72"/>
      <c r="D114" s="72"/>
      <c r="E114" s="72"/>
      <c r="F114" s="72"/>
      <c r="G114" s="72"/>
      <c r="H114" s="72"/>
      <c r="I114" s="72"/>
      <c r="J114" s="72"/>
      <c r="K114" s="72"/>
      <c r="L114" s="77" t="s">
        <v>62</v>
      </c>
      <c r="M114" s="75">
        <f>'Gjensidige Pensjon'!B11-'Gjensidige Pensjon'!B12+'Gjensidige Pensjon'!B32-'Gjensidige Pensjon'!B33+'Gjensidige Pensjon'!B36-'Gjensidige Pensjon'!B37+'Gjensidige Pensjon'!B109-'Gjensidige Pensjon'!B117+'Gjensidige Pensjon'!B134-'Gjensidige Pensjon'!B135</f>
        <v>13427.598209999996</v>
      </c>
      <c r="N114" s="75">
        <f>'Gjensidige Pensjon'!C11-'Gjensidige Pensjon'!C12+'Gjensidige Pensjon'!C32-'Gjensidige Pensjon'!C33+'Gjensidige Pensjon'!C36-'Gjensidige Pensjon'!C37+'Gjensidige Pensjon'!C109-'Gjensidige Pensjon'!C117+'Gjensidige Pensjon'!C134-'Gjensidige Pensjon'!C135</f>
        <v>30047.581000000006</v>
      </c>
      <c r="O114" s="72"/>
      <c r="Q114" s="72"/>
    </row>
    <row r="115" spans="1:17" ht="18.75" customHeight="1" x14ac:dyDescent="0.3">
      <c r="A115" s="72"/>
      <c r="B115" s="72"/>
      <c r="C115" s="72"/>
      <c r="D115" s="72"/>
      <c r="E115" s="72"/>
      <c r="F115" s="72"/>
      <c r="G115" s="72"/>
      <c r="H115" s="72"/>
      <c r="I115" s="72"/>
      <c r="J115" s="72"/>
      <c r="K115" s="72"/>
      <c r="L115" s="77" t="s">
        <v>65</v>
      </c>
      <c r="M115" s="75">
        <f>KLP!B11-KLP!B12+KLP!B32-KLP!B33+KLP!B36-KLP!B37+KLP!B109-KLP!B117+KLP!B134-KLP!B135</f>
        <v>3407665.2990000001</v>
      </c>
      <c r="N115" s="75">
        <f>KLP!C11-KLP!C12+KLP!C32-KLP!C33+KLP!C36-KLP!C37+KLP!C109-KLP!C117+KLP!C134-KLP!C135</f>
        <v>-27827.16399999999</v>
      </c>
      <c r="O115" s="72"/>
      <c r="Q115" s="72"/>
    </row>
    <row r="116" spans="1:17" ht="18.75" customHeight="1" x14ac:dyDescent="0.3">
      <c r="A116" s="72"/>
      <c r="B116" s="72"/>
      <c r="C116" s="72"/>
      <c r="D116" s="72"/>
      <c r="E116" s="72"/>
      <c r="F116" s="72"/>
      <c r="G116" s="72"/>
      <c r="H116" s="72"/>
      <c r="I116" s="72"/>
      <c r="J116" s="72"/>
      <c r="K116" s="72"/>
      <c r="L116" s="77" t="s">
        <v>66</v>
      </c>
      <c r="M116" s="75">
        <f>'KLP Bedriftspensjon AS'!B11-'KLP Bedriftspensjon AS'!B12+'KLP Bedriftspensjon AS'!B32-'KLP Bedriftspensjon AS'!B33+'KLP Bedriftspensjon AS'!B36-'KLP Bedriftspensjon AS'!B37+'KLP Bedriftspensjon AS'!B109-'KLP Bedriftspensjon AS'!B117+'KLP Bedriftspensjon AS'!B134-'KLP Bedriftspensjon AS'!B135</f>
        <v>1186</v>
      </c>
      <c r="N116" s="75">
        <f>'KLP Bedriftspensjon AS'!C11-'KLP Bedriftspensjon AS'!C12+'KLP Bedriftspensjon AS'!C32-'KLP Bedriftspensjon AS'!C33+'KLP Bedriftspensjon AS'!C36-'KLP Bedriftspensjon AS'!C37+'KLP Bedriftspensjon AS'!C109-'KLP Bedriftspensjon AS'!C117+'KLP Bedriftspensjon AS'!C134-'KLP Bedriftspensjon AS'!C135</f>
        <v>-13752</v>
      </c>
      <c r="O116" s="72"/>
      <c r="Q116" s="72"/>
    </row>
    <row r="117" spans="1:17" ht="18.75" customHeight="1" x14ac:dyDescent="0.3">
      <c r="A117" s="72"/>
      <c r="B117" s="72"/>
      <c r="C117" s="72"/>
      <c r="D117" s="72"/>
      <c r="E117" s="72"/>
      <c r="F117" s="72"/>
      <c r="G117" s="72"/>
      <c r="H117" s="72"/>
      <c r="I117" s="72"/>
      <c r="J117" s="72"/>
      <c r="K117" s="72"/>
      <c r="L117" s="72" t="s">
        <v>70</v>
      </c>
      <c r="M117" s="75">
        <f>'Nordea Liv '!B11-'Nordea Liv '!B12+'Nordea Liv '!B32-'Nordea Liv '!B33+'Nordea Liv '!B36-'Nordea Liv '!B37+'Nordea Liv '!B109-'Nordea Liv '!B117+'Nordea Liv '!B134-'Nordea Liv '!B135</f>
        <v>-152886.35</v>
      </c>
      <c r="N117" s="75">
        <f>'Nordea Liv '!C11-'Nordea Liv '!C12+'Nordea Liv '!C32-'Nordea Liv '!C33+'Nordea Liv '!C36-'Nordea Liv '!C37+'Nordea Liv '!C109-'Nordea Liv '!C117+'Nordea Liv '!C134-'Nordea Liv '!C135</f>
        <v>-64871.0142000001</v>
      </c>
      <c r="O117" s="72"/>
      <c r="Q117" s="72"/>
    </row>
    <row r="118" spans="1:17" ht="18.75" customHeight="1" x14ac:dyDescent="0.3">
      <c r="A118" s="72"/>
      <c r="B118" s="72"/>
      <c r="C118" s="72"/>
      <c r="D118" s="72"/>
      <c r="E118" s="72"/>
      <c r="F118" s="72"/>
      <c r="G118" s="72"/>
      <c r="H118" s="72"/>
      <c r="I118" s="72"/>
      <c r="J118" s="72"/>
      <c r="K118" s="72"/>
      <c r="L118" s="72" t="s">
        <v>77</v>
      </c>
      <c r="M118" s="75">
        <f>'Silver Pensjonsforsikring AS'!B11-'Silver Pensjonsforsikring AS'!B12+'Silver Pensjonsforsikring AS'!B32-'Silver Pensjonsforsikring AS'!B33+'Silver Pensjonsforsikring AS'!B36-'Silver Pensjonsforsikring AS'!B37+'Silver Pensjonsforsikring AS'!B109-'Silver Pensjonsforsikring AS'!B117+'Silver Pensjonsforsikring AS'!B134-'Silver Pensjonsforsikring AS'!B135</f>
        <v>-7054.66392</v>
      </c>
      <c r="N118" s="75">
        <f>'Silver Pensjonsforsikring AS'!C11-'Silver Pensjonsforsikring AS'!C12+'Silver Pensjonsforsikring AS'!C32-'Silver Pensjonsforsikring AS'!C33+'Silver Pensjonsforsikring AS'!C36-'Silver Pensjonsforsikring AS'!C37+'Silver Pensjonsforsikring AS'!C109-'Silver Pensjonsforsikring AS'!C117+'Silver Pensjonsforsikring AS'!C134-'Silver Pensjonsforsikring AS'!C135</f>
        <v>0</v>
      </c>
      <c r="O118" s="72"/>
      <c r="Q118" s="72"/>
    </row>
    <row r="119" spans="1:17" ht="18.75" customHeight="1" x14ac:dyDescent="0.3">
      <c r="A119" s="72"/>
      <c r="B119" s="72"/>
      <c r="C119" s="72"/>
      <c r="D119" s="72"/>
      <c r="E119" s="72"/>
      <c r="F119" s="72"/>
      <c r="G119" s="72"/>
      <c r="H119" s="72"/>
      <c r="I119" s="72"/>
      <c r="J119" s="72"/>
      <c r="K119" s="72"/>
      <c r="L119" s="72" t="s">
        <v>72</v>
      </c>
      <c r="M119" s="75">
        <f>'Sparebank 1'!B11-'Sparebank 1'!B12+'Sparebank 1'!B32-'Sparebank 1'!B33+'Sparebank 1'!B36-'Sparebank 1'!B37+'Sparebank 1'!B109-'Sparebank 1'!B117+'Sparebank 1'!B134-'Sparebank 1'!B135</f>
        <v>66489.531299999988</v>
      </c>
      <c r="N119" s="75">
        <f>'Sparebank 1'!C11-'Sparebank 1'!C12+'Sparebank 1'!C32-'Sparebank 1'!C33+'Sparebank 1'!C36-'Sparebank 1'!C37+'Sparebank 1'!C109-'Sparebank 1'!C117+'Sparebank 1'!C134-'Sparebank 1'!C135</f>
        <v>7266.8838999999971</v>
      </c>
      <c r="O119" s="72"/>
      <c r="Q119" s="72"/>
    </row>
    <row r="120" spans="1:17" ht="18.75" customHeight="1" x14ac:dyDescent="0.3">
      <c r="A120" s="72"/>
      <c r="B120" s="72"/>
      <c r="C120" s="72"/>
      <c r="D120" s="72"/>
      <c r="E120" s="72"/>
      <c r="F120" s="72"/>
      <c r="G120" s="72"/>
      <c r="H120" s="72"/>
      <c r="I120" s="72"/>
      <c r="J120" s="72"/>
      <c r="K120" s="72"/>
      <c r="L120" s="72" t="s">
        <v>73</v>
      </c>
      <c r="M120" s="75">
        <f>'Storebrand Livsforsikring'!B11-'Storebrand Livsforsikring'!B12+'Storebrand Livsforsikring'!B32-'Storebrand Livsforsikring'!B33+'Storebrand Livsforsikring'!B36-'Storebrand Livsforsikring'!B37+'Storebrand Livsforsikring'!B109-'Storebrand Livsforsikring'!B117+'Storebrand Livsforsikring'!B134-'Storebrand Livsforsikring'!B135</f>
        <v>-1944428.4140000001</v>
      </c>
      <c r="N120" s="75">
        <f>'Storebrand Livsforsikring'!C11-'Storebrand Livsforsikring'!C12+'Storebrand Livsforsikring'!C32-'Storebrand Livsforsikring'!C33+'Storebrand Livsforsikring'!C36-'Storebrand Livsforsikring'!C37+'Storebrand Livsforsikring'!C109-'Storebrand Livsforsikring'!C117+'Storebrand Livsforsikring'!C134-'Storebrand Livsforsikring'!C135</f>
        <v>-259239.61099999998</v>
      </c>
      <c r="O120" s="72"/>
    </row>
    <row r="121" spans="1:17" ht="18.75" customHeight="1" x14ac:dyDescent="0.3">
      <c r="A121" s="72"/>
      <c r="B121" s="72"/>
      <c r="C121" s="72"/>
      <c r="D121" s="72"/>
      <c r="E121" s="72"/>
      <c r="F121" s="72"/>
      <c r="G121" s="72"/>
      <c r="H121" s="72"/>
      <c r="I121" s="72"/>
      <c r="J121" s="72"/>
      <c r="K121" s="72"/>
      <c r="M121" s="75"/>
      <c r="N121" s="75"/>
      <c r="O121" s="72"/>
    </row>
    <row r="122" spans="1:17" ht="18.75" customHeight="1" x14ac:dyDescent="0.3">
      <c r="A122" s="72"/>
      <c r="B122" s="72"/>
      <c r="C122" s="72"/>
      <c r="D122" s="72"/>
      <c r="E122" s="72"/>
      <c r="F122" s="72"/>
      <c r="G122" s="72"/>
      <c r="H122" s="72"/>
      <c r="I122" s="72"/>
      <c r="J122" s="72"/>
      <c r="K122" s="72"/>
      <c r="M122" s="75"/>
      <c r="N122" s="75"/>
      <c r="O122" s="72"/>
    </row>
    <row r="123" spans="1:17" ht="18.75" customHeight="1" x14ac:dyDescent="0.3">
      <c r="A123" s="72"/>
      <c r="B123" s="72"/>
      <c r="C123" s="72"/>
      <c r="D123" s="72"/>
      <c r="E123" s="72"/>
      <c r="F123" s="72"/>
      <c r="G123" s="72"/>
      <c r="H123" s="72"/>
      <c r="I123" s="72"/>
      <c r="J123" s="72"/>
      <c r="K123" s="72"/>
      <c r="M123" s="75"/>
      <c r="N123" s="75"/>
      <c r="O123" s="72"/>
    </row>
    <row r="124" spans="1:17" ht="18.75" customHeight="1" x14ac:dyDescent="0.3">
      <c r="A124" s="72"/>
      <c r="B124" s="72"/>
      <c r="C124" s="72"/>
      <c r="D124" s="72"/>
      <c r="E124" s="72"/>
      <c r="F124" s="72"/>
      <c r="G124" s="72"/>
      <c r="H124" s="72"/>
      <c r="I124" s="72"/>
      <c r="J124" s="72"/>
      <c r="K124" s="72"/>
      <c r="M124" s="75"/>
      <c r="N124" s="75"/>
      <c r="O124" s="72"/>
    </row>
    <row r="125" spans="1:17" ht="18.75" customHeight="1" x14ac:dyDescent="0.3">
      <c r="A125" s="72"/>
      <c r="B125" s="72"/>
      <c r="C125" s="72"/>
      <c r="D125" s="72"/>
      <c r="E125" s="72"/>
      <c r="F125" s="72"/>
      <c r="G125" s="72"/>
      <c r="H125" s="72"/>
      <c r="I125" s="72"/>
      <c r="J125" s="72"/>
      <c r="K125" s="72"/>
      <c r="M125" s="75"/>
      <c r="N125" s="75"/>
      <c r="O125" s="72"/>
    </row>
    <row r="126" spans="1:17" x14ac:dyDescent="0.3">
      <c r="A126" s="72"/>
      <c r="B126" s="72"/>
      <c r="C126" s="72"/>
      <c r="D126" s="72"/>
      <c r="E126" s="72"/>
      <c r="F126" s="72"/>
      <c r="G126" s="72"/>
      <c r="H126" s="72"/>
      <c r="I126" s="72"/>
      <c r="J126" s="72"/>
      <c r="K126" s="72"/>
      <c r="M126" s="75"/>
      <c r="N126" s="75"/>
      <c r="O126" s="72"/>
    </row>
    <row r="127" spans="1:17" x14ac:dyDescent="0.3">
      <c r="A127" s="72"/>
      <c r="B127" s="72"/>
      <c r="C127" s="72"/>
      <c r="D127" s="72"/>
      <c r="E127" s="72"/>
      <c r="F127" s="72"/>
      <c r="G127" s="72"/>
      <c r="H127" s="72"/>
      <c r="I127" s="72"/>
      <c r="J127" s="72"/>
      <c r="K127" s="72"/>
      <c r="M127" s="75"/>
      <c r="N127" s="75"/>
      <c r="O127" s="72"/>
    </row>
    <row r="128" spans="1:17" x14ac:dyDescent="0.3">
      <c r="A128" s="72"/>
      <c r="B128" s="72"/>
      <c r="C128" s="72"/>
      <c r="D128" s="72"/>
      <c r="E128" s="72"/>
      <c r="F128" s="72"/>
      <c r="G128" s="72"/>
      <c r="H128" s="72"/>
      <c r="I128" s="72"/>
      <c r="J128" s="72"/>
      <c r="K128" s="72"/>
      <c r="M128" s="75"/>
      <c r="N128" s="75"/>
      <c r="O128" s="72"/>
    </row>
    <row r="129" spans="1:15" x14ac:dyDescent="0.3">
      <c r="A129" s="72"/>
      <c r="B129" s="72"/>
      <c r="C129" s="72"/>
      <c r="D129" s="72"/>
      <c r="E129" s="72"/>
      <c r="F129" s="72"/>
      <c r="G129" s="72"/>
      <c r="H129" s="72"/>
      <c r="I129" s="72"/>
      <c r="J129" s="72"/>
      <c r="K129" s="72"/>
      <c r="O129" s="72"/>
    </row>
    <row r="130" spans="1:15" x14ac:dyDescent="0.3">
      <c r="A130" s="72"/>
      <c r="B130" s="72"/>
      <c r="C130" s="72"/>
      <c r="D130" s="72"/>
      <c r="E130" s="72"/>
      <c r="F130" s="72"/>
      <c r="G130" s="72"/>
      <c r="H130" s="72"/>
      <c r="I130" s="72"/>
      <c r="J130" s="72"/>
      <c r="K130" s="72"/>
      <c r="O130" s="72"/>
    </row>
    <row r="131" spans="1:15" x14ac:dyDescent="0.3">
      <c r="A131" s="72"/>
      <c r="B131" s="72"/>
      <c r="C131" s="72"/>
      <c r="D131" s="72"/>
      <c r="E131" s="72"/>
      <c r="F131" s="72"/>
      <c r="G131" s="72"/>
      <c r="H131" s="72"/>
      <c r="I131" s="72"/>
      <c r="J131" s="72"/>
      <c r="K131" s="72"/>
      <c r="O131" s="72"/>
    </row>
    <row r="132" spans="1:15" x14ac:dyDescent="0.3">
      <c r="A132" s="72"/>
      <c r="B132" s="72"/>
      <c r="C132" s="72"/>
      <c r="D132" s="72"/>
      <c r="E132" s="72"/>
      <c r="F132" s="72"/>
      <c r="G132" s="72"/>
      <c r="H132" s="72"/>
      <c r="I132" s="72"/>
      <c r="J132" s="72"/>
      <c r="K132" s="72"/>
      <c r="O132" s="72"/>
    </row>
    <row r="133" spans="1:15" x14ac:dyDescent="0.3">
      <c r="A133" s="73" t="s">
        <v>386</v>
      </c>
      <c r="B133" s="72"/>
      <c r="C133" s="72"/>
      <c r="D133" s="72"/>
      <c r="E133" s="72"/>
      <c r="F133" s="72"/>
      <c r="G133" s="72"/>
      <c r="H133" s="77"/>
      <c r="I133" s="72"/>
      <c r="J133" s="72"/>
      <c r="K133" s="72"/>
      <c r="O133" s="72"/>
    </row>
    <row r="134" spans="1:15" x14ac:dyDescent="0.3">
      <c r="B134" s="72"/>
      <c r="C134" s="72"/>
      <c r="D134" s="72"/>
      <c r="E134" s="72"/>
      <c r="F134" s="72"/>
      <c r="G134" s="72"/>
      <c r="H134" s="72"/>
      <c r="I134" s="72"/>
      <c r="J134" s="72"/>
      <c r="K134" s="72"/>
      <c r="O134" s="72"/>
    </row>
    <row r="135" spans="1:15" x14ac:dyDescent="0.3">
      <c r="A135" s="72"/>
      <c r="B135" s="72"/>
      <c r="C135" s="72"/>
      <c r="D135" s="72"/>
      <c r="E135" s="72"/>
      <c r="F135" s="72"/>
      <c r="G135" s="72"/>
      <c r="H135" s="72"/>
      <c r="I135" s="72"/>
      <c r="J135" s="72"/>
      <c r="K135" s="72"/>
      <c r="L135" s="72" t="s">
        <v>81</v>
      </c>
      <c r="O135" s="72"/>
    </row>
    <row r="136" spans="1:15" x14ac:dyDescent="0.3">
      <c r="A136" s="72"/>
      <c r="B136" s="72"/>
      <c r="C136" s="72"/>
      <c r="D136" s="72"/>
      <c r="E136" s="72"/>
      <c r="F136" s="72"/>
      <c r="G136" s="72"/>
      <c r="H136" s="72"/>
      <c r="I136" s="72"/>
      <c r="J136" s="72"/>
      <c r="K136" s="72"/>
      <c r="L136" s="72" t="s">
        <v>1</v>
      </c>
      <c r="O136" s="72"/>
    </row>
    <row r="137" spans="1:15" x14ac:dyDescent="0.3">
      <c r="A137" s="72"/>
      <c r="B137" s="72"/>
      <c r="C137" s="72"/>
      <c r="D137" s="72"/>
      <c r="E137" s="72"/>
      <c r="F137" s="72"/>
      <c r="G137" s="72"/>
      <c r="H137" s="72"/>
      <c r="I137" s="72"/>
      <c r="J137" s="72"/>
      <c r="K137" s="72"/>
      <c r="M137" s="72">
        <v>2016</v>
      </c>
      <c r="N137" s="72">
        <v>2017</v>
      </c>
      <c r="O137" s="72"/>
    </row>
    <row r="138" spans="1:15" x14ac:dyDescent="0.3">
      <c r="A138" s="72"/>
      <c r="B138" s="72"/>
      <c r="C138" s="72"/>
      <c r="D138" s="72"/>
      <c r="E138" s="72"/>
      <c r="F138" s="72"/>
      <c r="G138" s="72"/>
      <c r="H138" s="72"/>
      <c r="I138" s="72"/>
      <c r="J138" s="72"/>
      <c r="K138" s="72"/>
      <c r="L138" s="72" t="s">
        <v>56</v>
      </c>
      <c r="M138" s="75">
        <f>'Danica Pensjonsforsikring'!F11-'Danica Pensjonsforsikring'!F12+'Danica Pensjonsforsikring'!F32-'Danica Pensjonsforsikring'!F33+'Danica Pensjonsforsikring'!F36-'Danica Pensjonsforsikring'!F37+'Danica Pensjonsforsikring'!F109-'Danica Pensjonsforsikring'!F117+'Danica Pensjonsforsikring'!F134-'Danica Pensjonsforsikring'!F135</f>
        <v>52563.20199999999</v>
      </c>
      <c r="N138" s="75">
        <f>'Danica Pensjonsforsikring'!G11-'Danica Pensjonsforsikring'!G12+'Danica Pensjonsforsikring'!G32-'Danica Pensjonsforsikring'!G33+'Danica Pensjonsforsikring'!G36-'Danica Pensjonsforsikring'!G37+'Danica Pensjonsforsikring'!G109-'Danica Pensjonsforsikring'!G117+'Danica Pensjonsforsikring'!G134-'Danica Pensjonsforsikring'!G135</f>
        <v>206271.34200000006</v>
      </c>
      <c r="O138" s="72"/>
    </row>
    <row r="139" spans="1:15" x14ac:dyDescent="0.3">
      <c r="A139" s="72"/>
      <c r="B139" s="72"/>
      <c r="C139" s="72"/>
      <c r="D139" s="72"/>
      <c r="E139" s="72"/>
      <c r="F139" s="72"/>
      <c r="G139" s="72"/>
      <c r="H139" s="72"/>
      <c r="I139" s="72"/>
      <c r="J139" s="72"/>
      <c r="K139" s="72"/>
      <c r="L139" s="72" t="s">
        <v>57</v>
      </c>
      <c r="M139" s="75">
        <f>'DNB Livsforsikring'!F11-'DNB Livsforsikring'!F12+'DNB Livsforsikring'!F32-'DNB Livsforsikring'!F33+'DNB Livsforsikring'!F36-'DNB Livsforsikring'!F37+'DNB Livsforsikring'!F109-'DNB Livsforsikring'!F117+'DNB Livsforsikring'!F134-'DNB Livsforsikring'!F135</f>
        <v>225817</v>
      </c>
      <c r="N139" s="75">
        <f>'DNB Livsforsikring'!G11-'DNB Livsforsikring'!G12+'DNB Livsforsikring'!G32-'DNB Livsforsikring'!G33+'DNB Livsforsikring'!G36-'DNB Livsforsikring'!G37+'DNB Livsforsikring'!G109-'DNB Livsforsikring'!G117+'DNB Livsforsikring'!G134-'DNB Livsforsikring'!G135</f>
        <v>1374998</v>
      </c>
      <c r="O139" s="72"/>
    </row>
    <row r="140" spans="1:15" x14ac:dyDescent="0.3">
      <c r="A140" s="72"/>
      <c r="B140" s="72"/>
      <c r="C140" s="72"/>
      <c r="D140" s="72"/>
      <c r="E140" s="72"/>
      <c r="F140" s="72"/>
      <c r="G140" s="72"/>
      <c r="H140" s="72"/>
      <c r="I140" s="72"/>
      <c r="J140" s="72"/>
      <c r="K140" s="72"/>
      <c r="L140" s="72" t="s">
        <v>59</v>
      </c>
      <c r="M140" s="75">
        <f>'Frende Livsforsikring'!F11-'Frende Livsforsikring'!F12+'Frende Livsforsikring'!F32-'Frende Livsforsikring'!F33+'Frende Livsforsikring'!F36-'Frende Livsforsikring'!F37+'Frende Livsforsikring'!F109-'Frende Livsforsikring'!F117+'Frende Livsforsikring'!F134-'Frende Livsforsikring'!F135</f>
        <v>-25788.043999999994</v>
      </c>
      <c r="N140" s="75">
        <f>'Frende Livsforsikring'!G11-'Frende Livsforsikring'!G12+'Frende Livsforsikring'!G32-'Frende Livsforsikring'!G33+'Frende Livsforsikring'!G36-'Frende Livsforsikring'!G37+'Frende Livsforsikring'!G109-'Frende Livsforsikring'!G117+'Frende Livsforsikring'!G134-'Frende Livsforsikring'!G135</f>
        <v>-46922</v>
      </c>
      <c r="O140" s="72"/>
    </row>
    <row r="141" spans="1:15" x14ac:dyDescent="0.3">
      <c r="A141" s="72"/>
      <c r="B141" s="72"/>
      <c r="C141" s="72"/>
      <c r="D141" s="72"/>
      <c r="E141" s="72"/>
      <c r="F141" s="72"/>
      <c r="G141" s="72"/>
      <c r="H141" s="72"/>
      <c r="I141" s="72"/>
      <c r="J141" s="72"/>
      <c r="K141" s="72"/>
      <c r="L141" s="77" t="s">
        <v>62</v>
      </c>
      <c r="M141" s="75">
        <f>'Gjensidige Pensjon'!F11-'Gjensidige Pensjon'!F12+'Gjensidige Pensjon'!F32-'Gjensidige Pensjon'!F33+'Gjensidige Pensjon'!F36-'Gjensidige Pensjon'!F37+'Gjensidige Pensjon'!F109-'Gjensidige Pensjon'!F117+'Gjensidige Pensjon'!F134-'Gjensidige Pensjon'!F135</f>
        <v>335536.56199999998</v>
      </c>
      <c r="N141" s="75">
        <f>'Gjensidige Pensjon'!G11-'Gjensidige Pensjon'!G12+'Gjensidige Pensjon'!G32-'Gjensidige Pensjon'!G33+'Gjensidige Pensjon'!G36-'Gjensidige Pensjon'!G37+'Gjensidige Pensjon'!G109-'Gjensidige Pensjon'!G117+'Gjensidige Pensjon'!G134-'Gjensidige Pensjon'!G135</f>
        <v>764744.39299999992</v>
      </c>
      <c r="O141" s="72"/>
    </row>
    <row r="142" spans="1:15" x14ac:dyDescent="0.3">
      <c r="A142" s="72"/>
      <c r="B142" s="72"/>
      <c r="C142" s="72"/>
      <c r="D142" s="72"/>
      <c r="E142" s="72"/>
      <c r="F142" s="72"/>
      <c r="G142" s="72"/>
      <c r="H142" s="72"/>
      <c r="I142" s="72"/>
      <c r="J142" s="72"/>
      <c r="K142" s="72"/>
      <c r="L142" s="72" t="s">
        <v>66</v>
      </c>
      <c r="M142" s="75">
        <f>'KLP Bedriftspensjon AS'!F11-'KLP Bedriftspensjon AS'!F12+'KLP Bedriftspensjon AS'!F32-'KLP Bedriftspensjon AS'!F33+'KLP Bedriftspensjon AS'!F36-'KLP Bedriftspensjon AS'!F37+'KLP Bedriftspensjon AS'!F109-'KLP Bedriftspensjon AS'!F117+'KLP Bedriftspensjon AS'!F134-'KLP Bedriftspensjon AS'!F135</f>
        <v>57815</v>
      </c>
      <c r="N142" s="75">
        <f>'KLP Bedriftspensjon AS'!G11-'KLP Bedriftspensjon AS'!G12+'KLP Bedriftspensjon AS'!G32-'KLP Bedriftspensjon AS'!G33+'KLP Bedriftspensjon AS'!G36-'KLP Bedriftspensjon AS'!G37+'KLP Bedriftspensjon AS'!G109-'KLP Bedriftspensjon AS'!G117+'KLP Bedriftspensjon AS'!G134-'KLP Bedriftspensjon AS'!G135</f>
        <v>349100</v>
      </c>
      <c r="O142" s="72"/>
    </row>
    <row r="143" spans="1:15" x14ac:dyDescent="0.3">
      <c r="A143" s="72"/>
      <c r="B143" s="72"/>
      <c r="C143" s="72"/>
      <c r="D143" s="72"/>
      <c r="E143" s="72"/>
      <c r="F143" s="72"/>
      <c r="G143" s="72"/>
      <c r="H143" s="72"/>
      <c r="I143" s="72"/>
      <c r="J143" s="72"/>
      <c r="K143" s="72"/>
      <c r="L143" s="72" t="s">
        <v>70</v>
      </c>
      <c r="M143" s="75">
        <f>'Nordea Liv '!F11-'Nordea Liv '!F12+'Nordea Liv '!F32-'Nordea Liv '!F33+'Nordea Liv '!F36-'Nordea Liv '!F37+'Nordea Liv '!F109-'Nordea Liv '!F117+'Nordea Liv '!F134-'Nordea Liv '!F135</f>
        <v>-536369.09571999998</v>
      </c>
      <c r="N143" s="75">
        <f>'Nordea Liv '!G11-'Nordea Liv '!G12+'Nordea Liv '!G32-'Nordea Liv '!G33+'Nordea Liv '!G36-'Nordea Liv '!G37+'Nordea Liv '!G109-'Nordea Liv '!G117+'Nordea Liv '!G134-'Nordea Liv '!G135</f>
        <v>-993310.38032999984</v>
      </c>
      <c r="O143" s="72"/>
    </row>
    <row r="144" spans="1:15" x14ac:dyDescent="0.3">
      <c r="A144" s="72"/>
      <c r="B144" s="72"/>
      <c r="C144" s="72"/>
      <c r="D144" s="72"/>
      <c r="E144" s="72"/>
      <c r="F144" s="72"/>
      <c r="G144" s="72"/>
      <c r="H144" s="72"/>
      <c r="I144" s="72"/>
      <c r="J144" s="72"/>
      <c r="K144" s="72"/>
      <c r="L144" s="72" t="s">
        <v>76</v>
      </c>
      <c r="M144" s="75">
        <f>'SHB Liv'!F11-'SHB Liv'!F12+'SHB Liv'!F32-'SHB Liv'!F33+'SHB Liv'!F36-'SHB Liv'!F37+'SHB Liv'!F109-'SHB Liv'!F117+'SHB Liv'!F134-'SHB Liv'!F135</f>
        <v>61517</v>
      </c>
      <c r="N144" s="75">
        <f>'SHB Liv'!G11-'SHB Liv'!G12+'SHB Liv'!G32-'SHB Liv'!G33+'SHB Liv'!G36-'SHB Liv'!G37+'SHB Liv'!G109-'SHB Liv'!G117+'SHB Liv'!G134-'SHB Liv'!G135</f>
        <v>63074</v>
      </c>
      <c r="O144" s="72"/>
    </row>
    <row r="145" spans="1:15" x14ac:dyDescent="0.3">
      <c r="A145" s="72"/>
      <c r="B145" s="72"/>
      <c r="C145" s="72"/>
      <c r="D145" s="72"/>
      <c r="E145" s="72"/>
      <c r="F145" s="72"/>
      <c r="G145" s="72"/>
      <c r="H145" s="72"/>
      <c r="I145" s="72"/>
      <c r="J145" s="72"/>
      <c r="K145" s="72"/>
      <c r="L145" s="72" t="s">
        <v>77</v>
      </c>
      <c r="M145" s="75">
        <f>'Silver Pensjonsforsikring AS'!F11-'Silver Pensjonsforsikring AS'!F12+'Silver Pensjonsforsikring AS'!F32-'Silver Pensjonsforsikring AS'!F33+'Silver Pensjonsforsikring AS'!F36-'Silver Pensjonsforsikring AS'!F37+'Silver Pensjonsforsikring AS'!F109-'Silver Pensjonsforsikring AS'!F117+'Silver Pensjonsforsikring AS'!F134-'Silver Pensjonsforsikring AS'!F135</f>
        <v>-103175</v>
      </c>
      <c r="N145" s="75">
        <f>'Silver Pensjonsforsikring AS'!G11-'Silver Pensjonsforsikring AS'!G12+'Silver Pensjonsforsikring AS'!G32-'Silver Pensjonsforsikring AS'!G33+'Silver Pensjonsforsikring AS'!G36-'Silver Pensjonsforsikring AS'!G37+'Silver Pensjonsforsikring AS'!G109-'Silver Pensjonsforsikring AS'!G117+'Silver Pensjonsforsikring AS'!G134-'Silver Pensjonsforsikring AS'!G135</f>
        <v>0</v>
      </c>
      <c r="O145" s="72"/>
    </row>
    <row r="146" spans="1:15" x14ac:dyDescent="0.3">
      <c r="A146" s="72"/>
      <c r="B146" s="72"/>
      <c r="C146" s="72"/>
      <c r="D146" s="72"/>
      <c r="E146" s="72"/>
      <c r="F146" s="72"/>
      <c r="G146" s="72"/>
      <c r="H146" s="72"/>
      <c r="I146" s="72"/>
      <c r="J146" s="72"/>
      <c r="K146" s="72"/>
      <c r="L146" s="72" t="s">
        <v>72</v>
      </c>
      <c r="M146" s="75">
        <f>'Sparebank 1'!F11-'Sparebank 1'!F12+'Sparebank 1'!F32-'Sparebank 1'!F33+'Sparebank 1'!F36-'Sparebank 1'!F37+'Sparebank 1'!F109-'Sparebank 1'!F117+'Sparebank 1'!F134-'Sparebank 1'!F135</f>
        <v>853472.12346000003</v>
      </c>
      <c r="N146" s="75">
        <f>'Sparebank 1'!G11-'Sparebank 1'!G12+'Sparebank 1'!G32-'Sparebank 1'!G33+'Sparebank 1'!G36-'Sparebank 1'!G37+'Sparebank 1'!G109-'Sparebank 1'!G117+'Sparebank 1'!G134-'Sparebank 1'!G135</f>
        <v>802761.49941999989</v>
      </c>
      <c r="O146" s="72"/>
    </row>
    <row r="147" spans="1:15" x14ac:dyDescent="0.3">
      <c r="A147" s="72"/>
      <c r="B147" s="72"/>
      <c r="C147" s="72"/>
      <c r="D147" s="72"/>
      <c r="E147" s="72"/>
      <c r="F147" s="72"/>
      <c r="G147" s="72"/>
      <c r="H147" s="72"/>
      <c r="I147" s="72"/>
      <c r="J147" s="72"/>
      <c r="K147" s="72"/>
      <c r="L147" s="72" t="s">
        <v>78</v>
      </c>
      <c r="M147" s="75">
        <f>'Storebrand Livsforsikring'!F11-'Storebrand Livsforsikring'!F12+'Storebrand Livsforsikring'!F32-'Storebrand Livsforsikring'!F33+'Storebrand Livsforsikring'!F36-'Storebrand Livsforsikring'!F37+'Storebrand Livsforsikring'!F109-'Storebrand Livsforsikring'!F117+'Storebrand Livsforsikring'!F134-'Storebrand Livsforsikring'!F135</f>
        <v>-890405.82700000005</v>
      </c>
      <c r="N147" s="75">
        <f>'Storebrand Livsforsikring'!G11-'Storebrand Livsforsikring'!G12+'Storebrand Livsforsikring'!G32-'Storebrand Livsforsikring'!G33+'Storebrand Livsforsikring'!G36-'Storebrand Livsforsikring'!G37+'Storebrand Livsforsikring'!G109-'Storebrand Livsforsikring'!G117+'Storebrand Livsforsikring'!G134-'Storebrand Livsforsikring'!G135</f>
        <v>-2471418.9609999997</v>
      </c>
      <c r="O147" s="72"/>
    </row>
    <row r="148" spans="1:15" x14ac:dyDescent="0.3">
      <c r="A148" s="72"/>
      <c r="B148" s="72"/>
      <c r="C148" s="72"/>
      <c r="D148" s="72"/>
      <c r="E148" s="72"/>
      <c r="F148" s="72"/>
      <c r="G148" s="72"/>
      <c r="H148" s="72"/>
      <c r="I148" s="72"/>
      <c r="J148" s="72"/>
      <c r="K148" s="72"/>
      <c r="O148" s="72"/>
    </row>
    <row r="149" spans="1:15" x14ac:dyDescent="0.3">
      <c r="A149" s="72"/>
      <c r="B149" s="72"/>
      <c r="C149" s="72"/>
      <c r="D149" s="72"/>
      <c r="E149" s="72"/>
      <c r="F149" s="72"/>
      <c r="G149" s="72"/>
      <c r="H149" s="72"/>
      <c r="I149" s="72"/>
      <c r="J149" s="72"/>
      <c r="K149" s="72"/>
      <c r="O149" s="72"/>
    </row>
    <row r="150" spans="1:15" x14ac:dyDescent="0.3">
      <c r="A150" s="72"/>
      <c r="B150" s="72"/>
      <c r="C150" s="72"/>
      <c r="D150" s="72"/>
      <c r="E150" s="72"/>
      <c r="F150" s="72"/>
      <c r="G150" s="72"/>
      <c r="H150" s="72"/>
      <c r="I150" s="72"/>
      <c r="J150" s="72"/>
      <c r="K150" s="72"/>
      <c r="O150" s="72"/>
    </row>
    <row r="151" spans="1:15" x14ac:dyDescent="0.3">
      <c r="A151" s="72"/>
      <c r="B151" s="72"/>
      <c r="C151" s="72"/>
      <c r="D151" s="72"/>
      <c r="E151" s="72"/>
      <c r="F151" s="72"/>
      <c r="G151" s="72"/>
      <c r="H151" s="72"/>
      <c r="I151" s="72"/>
      <c r="J151" s="72"/>
      <c r="K151" s="72"/>
      <c r="O151" s="72"/>
    </row>
    <row r="152" spans="1:15" x14ac:dyDescent="0.3">
      <c r="A152" s="72"/>
      <c r="B152" s="72"/>
      <c r="C152" s="72"/>
      <c r="D152" s="72"/>
      <c r="E152" s="72"/>
      <c r="F152" s="72"/>
      <c r="G152" s="72"/>
      <c r="H152" s="72"/>
      <c r="I152" s="72"/>
      <c r="J152" s="72"/>
      <c r="K152" s="72"/>
      <c r="O152" s="72"/>
    </row>
    <row r="153" spans="1:15" x14ac:dyDescent="0.3">
      <c r="A153" s="72"/>
      <c r="B153" s="72"/>
      <c r="C153" s="72"/>
      <c r="D153" s="72"/>
      <c r="E153" s="72"/>
      <c r="F153" s="72"/>
      <c r="G153" s="72"/>
      <c r="H153" s="72"/>
      <c r="I153" s="72"/>
      <c r="J153" s="72"/>
      <c r="K153" s="72"/>
      <c r="O153" s="72"/>
    </row>
    <row r="154" spans="1:15" x14ac:dyDescent="0.3">
      <c r="A154" s="72"/>
      <c r="B154" s="72"/>
      <c r="C154" s="72"/>
      <c r="D154" s="72"/>
      <c r="E154" s="72"/>
      <c r="F154" s="72"/>
      <c r="G154" s="72"/>
      <c r="H154" s="72"/>
      <c r="I154" s="72"/>
      <c r="J154" s="72"/>
      <c r="K154" s="72"/>
      <c r="O154" s="72"/>
    </row>
    <row r="155" spans="1:15" x14ac:dyDescent="0.3">
      <c r="A155" s="72"/>
      <c r="B155" s="72"/>
      <c r="C155" s="72"/>
      <c r="D155" s="72"/>
      <c r="E155" s="72"/>
      <c r="F155" s="72"/>
      <c r="G155" s="72"/>
      <c r="H155" s="72"/>
      <c r="I155" s="72"/>
      <c r="J155" s="72"/>
      <c r="K155" s="72"/>
      <c r="O155" s="72"/>
    </row>
    <row r="156" spans="1:15" x14ac:dyDescent="0.3">
      <c r="A156" s="72"/>
      <c r="B156" s="72"/>
      <c r="C156" s="72"/>
      <c r="D156" s="72"/>
      <c r="E156" s="72"/>
      <c r="F156" s="72"/>
      <c r="G156" s="72"/>
      <c r="H156" s="72"/>
      <c r="I156" s="72"/>
      <c r="J156" s="72"/>
      <c r="K156" s="72"/>
      <c r="O156" s="72"/>
    </row>
    <row r="157" spans="1:15" x14ac:dyDescent="0.3">
      <c r="A157" s="72"/>
      <c r="B157" s="72"/>
      <c r="C157" s="72"/>
      <c r="D157" s="72"/>
      <c r="E157" s="72"/>
      <c r="F157" s="72"/>
      <c r="G157" s="72"/>
      <c r="H157" s="72"/>
      <c r="I157" s="72"/>
      <c r="J157" s="72"/>
      <c r="K157" s="72"/>
      <c r="O157" s="72"/>
    </row>
    <row r="158" spans="1:15" x14ac:dyDescent="0.3">
      <c r="O158" s="72"/>
    </row>
    <row r="159" spans="1:15" x14ac:dyDescent="0.3">
      <c r="O159" s="72"/>
    </row>
    <row r="160" spans="1:15" x14ac:dyDescent="0.3">
      <c r="O160" s="72"/>
    </row>
    <row r="161" spans="1:15" x14ac:dyDescent="0.3">
      <c r="O161" s="72"/>
    </row>
    <row r="162" spans="1:15" x14ac:dyDescent="0.3">
      <c r="O162" s="72"/>
    </row>
    <row r="163" spans="1:15" x14ac:dyDescent="0.3">
      <c r="O163" s="72"/>
    </row>
    <row r="164" spans="1:15" x14ac:dyDescent="0.3">
      <c r="O164" s="72"/>
    </row>
    <row r="165" spans="1:15" x14ac:dyDescent="0.3">
      <c r="O165" s="72"/>
    </row>
    <row r="166" spans="1:15" x14ac:dyDescent="0.3">
      <c r="O166" s="72"/>
    </row>
    <row r="167" spans="1:15" x14ac:dyDescent="0.3">
      <c r="O167" s="72"/>
    </row>
    <row r="168" spans="1:15" x14ac:dyDescent="0.3">
      <c r="O168" s="72"/>
    </row>
    <row r="169" spans="1:15" x14ac:dyDescent="0.3">
      <c r="O169" s="72"/>
    </row>
    <row r="170" spans="1:15" x14ac:dyDescent="0.3">
      <c r="O170" s="72"/>
    </row>
    <row r="171" spans="1:15" x14ac:dyDescent="0.3">
      <c r="O171" s="72"/>
    </row>
    <row r="172" spans="1:15" x14ac:dyDescent="0.3">
      <c r="O172" s="72"/>
    </row>
    <row r="173" spans="1:15" x14ac:dyDescent="0.3">
      <c r="O173" s="72"/>
    </row>
    <row r="174" spans="1:15" x14ac:dyDescent="0.3">
      <c r="A174" s="72"/>
      <c r="B174" s="72"/>
      <c r="C174" s="72"/>
      <c r="D174" s="72"/>
      <c r="E174" s="72"/>
      <c r="F174" s="72"/>
      <c r="G174" s="72"/>
      <c r="H174" s="72"/>
      <c r="I174" s="72"/>
      <c r="J174" s="72"/>
      <c r="K174" s="72"/>
      <c r="O174" s="72"/>
    </row>
    <row r="175" spans="1:15" x14ac:dyDescent="0.3">
      <c r="A175" s="72"/>
      <c r="B175" s="72"/>
      <c r="C175" s="72"/>
      <c r="D175" s="72"/>
      <c r="E175" s="72"/>
      <c r="F175" s="72"/>
      <c r="G175" s="72"/>
      <c r="H175" s="72"/>
      <c r="I175" s="72"/>
      <c r="J175" s="72"/>
      <c r="K175" s="72"/>
      <c r="O175" s="72"/>
    </row>
    <row r="176" spans="1:15" x14ac:dyDescent="0.3">
      <c r="A176" s="72"/>
      <c r="B176" s="72"/>
      <c r="C176" s="72"/>
      <c r="D176" s="72"/>
      <c r="E176" s="72"/>
      <c r="F176" s="72"/>
      <c r="G176" s="72"/>
      <c r="H176" s="72"/>
      <c r="I176" s="72"/>
      <c r="J176" s="72"/>
      <c r="K176" s="72"/>
      <c r="O176" s="72"/>
    </row>
    <row r="177" spans="1:15" x14ac:dyDescent="0.3">
      <c r="A177" s="72"/>
      <c r="B177" s="72"/>
      <c r="C177" s="72"/>
      <c r="D177" s="72"/>
      <c r="E177" s="72"/>
      <c r="F177" s="72"/>
      <c r="G177" s="72"/>
      <c r="H177" s="72"/>
      <c r="I177" s="72"/>
      <c r="J177" s="72"/>
      <c r="K177" s="72"/>
      <c r="O177" s="72"/>
    </row>
    <row r="178" spans="1:15" x14ac:dyDescent="0.3">
      <c r="A178" s="72"/>
      <c r="B178" s="72"/>
      <c r="C178" s="72"/>
      <c r="D178" s="72"/>
      <c r="E178" s="72"/>
      <c r="F178" s="72"/>
      <c r="G178" s="72"/>
      <c r="H178" s="72"/>
      <c r="I178" s="72"/>
      <c r="J178" s="72"/>
      <c r="K178" s="72"/>
      <c r="O178" s="72"/>
    </row>
    <row r="179" spans="1:15" x14ac:dyDescent="0.3">
      <c r="A179" s="72"/>
      <c r="B179" s="72"/>
      <c r="C179" s="72"/>
      <c r="D179" s="72"/>
      <c r="E179" s="72"/>
      <c r="F179" s="72"/>
      <c r="G179" s="72"/>
      <c r="H179" s="72"/>
      <c r="I179" s="72"/>
      <c r="J179" s="72"/>
      <c r="K179" s="72"/>
      <c r="O179" s="72"/>
    </row>
    <row r="180" spans="1:15" x14ac:dyDescent="0.3">
      <c r="A180" s="72"/>
      <c r="B180" s="72"/>
      <c r="C180" s="72"/>
      <c r="D180" s="72"/>
      <c r="E180" s="72"/>
      <c r="F180" s="72"/>
      <c r="G180" s="72"/>
      <c r="H180" s="72"/>
      <c r="I180" s="72"/>
      <c r="J180" s="72"/>
      <c r="K180" s="72"/>
      <c r="O180" s="72"/>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109</v>
      </c>
      <c r="D1" s="24"/>
      <c r="E1" s="24"/>
      <c r="F1" s="24"/>
      <c r="G1" s="24"/>
      <c r="H1" s="24"/>
      <c r="I1" s="24"/>
      <c r="J1" s="24"/>
      <c r="K1" s="24"/>
      <c r="L1" s="24"/>
      <c r="M1" s="24"/>
      <c r="O1" s="409"/>
    </row>
    <row r="2" spans="1:15" ht="15.75" x14ac:dyDescent="0.25">
      <c r="A2" s="162" t="s">
        <v>29</v>
      </c>
      <c r="B2" s="693"/>
      <c r="C2" s="693"/>
      <c r="D2" s="693"/>
      <c r="E2" s="288"/>
      <c r="F2" s="693"/>
      <c r="G2" s="693"/>
      <c r="H2" s="693"/>
      <c r="I2" s="288"/>
      <c r="J2" s="693"/>
      <c r="K2" s="693"/>
      <c r="L2" s="693"/>
      <c r="M2" s="288"/>
      <c r="O2" s="145"/>
    </row>
    <row r="3" spans="1:15" ht="15.75" x14ac:dyDescent="0.25">
      <c r="A3" s="160"/>
      <c r="B3" s="288"/>
      <c r="C3" s="288"/>
      <c r="D3" s="288"/>
      <c r="E3" s="288"/>
      <c r="F3" s="288"/>
      <c r="G3" s="288"/>
      <c r="H3" s="288"/>
      <c r="I3" s="288"/>
      <c r="J3" s="288"/>
      <c r="K3" s="288"/>
      <c r="L3" s="288"/>
      <c r="M3" s="288"/>
      <c r="O3" s="145"/>
    </row>
    <row r="4" spans="1:15" x14ac:dyDescent="0.2">
      <c r="A4" s="141"/>
      <c r="B4" s="690" t="s">
        <v>0</v>
      </c>
      <c r="C4" s="691"/>
      <c r="D4" s="691"/>
      <c r="E4" s="290"/>
      <c r="F4" s="690" t="s">
        <v>1</v>
      </c>
      <c r="G4" s="691"/>
      <c r="H4" s="691"/>
      <c r="I4" s="293"/>
      <c r="J4" s="690" t="s">
        <v>2</v>
      </c>
      <c r="K4" s="691"/>
      <c r="L4" s="691"/>
      <c r="M4" s="293"/>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c r="C7" s="296"/>
      <c r="D7" s="336"/>
      <c r="E7" s="11"/>
      <c r="F7" s="295"/>
      <c r="G7" s="296"/>
      <c r="H7" s="336"/>
      <c r="I7" s="157"/>
      <c r="J7" s="297"/>
      <c r="K7" s="298"/>
      <c r="L7" s="410"/>
      <c r="M7" s="11"/>
      <c r="O7" s="145"/>
    </row>
    <row r="8" spans="1:15" ht="15.75" x14ac:dyDescent="0.2">
      <c r="A8" s="19" t="s">
        <v>26</v>
      </c>
      <c r="B8" s="278"/>
      <c r="C8" s="279"/>
      <c r="D8" s="163"/>
      <c r="E8" s="25"/>
      <c r="F8" s="653"/>
      <c r="G8" s="654"/>
      <c r="H8" s="163"/>
      <c r="I8" s="173"/>
      <c r="J8" s="232"/>
      <c r="K8" s="282"/>
      <c r="L8" s="253"/>
      <c r="M8" s="25"/>
      <c r="O8" s="145"/>
    </row>
    <row r="9" spans="1:15" ht="15.75" x14ac:dyDescent="0.2">
      <c r="A9" s="19" t="s">
        <v>25</v>
      </c>
      <c r="B9" s="278"/>
      <c r="C9" s="279"/>
      <c r="D9" s="163"/>
      <c r="E9" s="25"/>
      <c r="F9" s="653"/>
      <c r="G9" s="654"/>
      <c r="H9" s="163"/>
      <c r="I9" s="173"/>
      <c r="J9" s="232"/>
      <c r="K9" s="282"/>
      <c r="L9" s="253"/>
      <c r="M9" s="25"/>
      <c r="O9" s="145"/>
    </row>
    <row r="10" spans="1:15" ht="15.75" x14ac:dyDescent="0.2">
      <c r="A10" s="13" t="s">
        <v>398</v>
      </c>
      <c r="B10" s="299"/>
      <c r="C10" s="300"/>
      <c r="D10" s="168"/>
      <c r="E10" s="11"/>
      <c r="F10" s="299"/>
      <c r="G10" s="300"/>
      <c r="H10" s="168"/>
      <c r="I10" s="157"/>
      <c r="J10" s="297"/>
      <c r="K10" s="298"/>
      <c r="L10" s="411"/>
      <c r="M10" s="11"/>
      <c r="O10" s="145"/>
    </row>
    <row r="11" spans="1:15" s="41" customFormat="1" ht="15.75" x14ac:dyDescent="0.2">
      <c r="A11" s="13" t="s">
        <v>399</v>
      </c>
      <c r="B11" s="299"/>
      <c r="C11" s="300"/>
      <c r="D11" s="168"/>
      <c r="E11" s="11"/>
      <c r="F11" s="299"/>
      <c r="G11" s="300"/>
      <c r="H11" s="168"/>
      <c r="I11" s="157"/>
      <c r="J11" s="297"/>
      <c r="K11" s="298"/>
      <c r="L11" s="411"/>
      <c r="M11" s="11"/>
      <c r="N11" s="140"/>
      <c r="O11" s="145"/>
    </row>
    <row r="12" spans="1:15" s="41" customFormat="1" ht="15.75" x14ac:dyDescent="0.2">
      <c r="A12" s="39" t="s">
        <v>400</v>
      </c>
      <c r="B12" s="301"/>
      <c r="C12" s="302"/>
      <c r="D12" s="166"/>
      <c r="E12" s="34"/>
      <c r="F12" s="301"/>
      <c r="G12" s="302"/>
      <c r="H12" s="166"/>
      <c r="I12" s="166"/>
      <c r="J12" s="303"/>
      <c r="K12" s="304"/>
      <c r="L12" s="412"/>
      <c r="M12" s="34"/>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288"/>
      <c r="F18" s="694"/>
      <c r="G18" s="694"/>
      <c r="H18" s="694"/>
      <c r="I18" s="288"/>
      <c r="J18" s="694"/>
      <c r="K18" s="694"/>
      <c r="L18" s="694"/>
      <c r="M18" s="288"/>
      <c r="O18" s="145"/>
    </row>
    <row r="19" spans="1:15" x14ac:dyDescent="0.2">
      <c r="A19" s="141"/>
      <c r="B19" s="690" t="s">
        <v>0</v>
      </c>
      <c r="C19" s="691"/>
      <c r="D19" s="691"/>
      <c r="E19" s="290"/>
      <c r="F19" s="690" t="s">
        <v>1</v>
      </c>
      <c r="G19" s="691"/>
      <c r="H19" s="691"/>
      <c r="I19" s="293"/>
      <c r="J19" s="690" t="s">
        <v>2</v>
      </c>
      <c r="K19" s="691"/>
      <c r="L19" s="691"/>
      <c r="M19" s="293"/>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05"/>
      <c r="C22" s="306"/>
      <c r="D22" s="336"/>
      <c r="E22" s="11"/>
      <c r="F22" s="307"/>
      <c r="G22" s="306"/>
      <c r="H22" s="336"/>
      <c r="I22" s="11"/>
      <c r="J22" s="305"/>
      <c r="K22" s="305"/>
      <c r="L22" s="410"/>
      <c r="M22" s="22"/>
      <c r="O22" s="145"/>
    </row>
    <row r="23" spans="1:15" ht="15.75" x14ac:dyDescent="0.2">
      <c r="A23" s="652" t="s">
        <v>401</v>
      </c>
      <c r="B23" s="653"/>
      <c r="C23" s="653"/>
      <c r="D23" s="163"/>
      <c r="E23" s="400"/>
      <c r="F23" s="653"/>
      <c r="G23" s="653"/>
      <c r="H23" s="163"/>
      <c r="I23" s="400"/>
      <c r="J23" s="653"/>
      <c r="K23" s="653"/>
      <c r="L23" s="163"/>
      <c r="M23" s="21"/>
      <c r="O23" s="145"/>
    </row>
    <row r="24" spans="1:15" ht="15.75" x14ac:dyDescent="0.2">
      <c r="A24" s="652" t="s">
        <v>402</v>
      </c>
      <c r="B24" s="653"/>
      <c r="C24" s="653"/>
      <c r="D24" s="163"/>
      <c r="E24" s="400"/>
      <c r="F24" s="653"/>
      <c r="G24" s="653"/>
      <c r="H24" s="163"/>
      <c r="I24" s="400"/>
      <c r="J24" s="653"/>
      <c r="K24" s="653"/>
      <c r="L24" s="163"/>
      <c r="M24" s="21"/>
      <c r="O24" s="145"/>
    </row>
    <row r="25" spans="1:15" ht="15.75" x14ac:dyDescent="0.2">
      <c r="A25" s="652" t="s">
        <v>403</v>
      </c>
      <c r="B25" s="653"/>
      <c r="C25" s="653"/>
      <c r="D25" s="163"/>
      <c r="E25" s="400"/>
      <c r="F25" s="653"/>
      <c r="G25" s="653"/>
      <c r="H25" s="163"/>
      <c r="I25" s="400"/>
      <c r="J25" s="653"/>
      <c r="K25" s="653"/>
      <c r="L25" s="163"/>
      <c r="M25" s="21"/>
      <c r="O25" s="145"/>
    </row>
    <row r="26" spans="1:15" x14ac:dyDescent="0.2">
      <c r="A26" s="652" t="s">
        <v>11</v>
      </c>
      <c r="B26" s="653"/>
      <c r="C26" s="653"/>
      <c r="D26" s="163"/>
      <c r="E26" s="400"/>
      <c r="F26" s="653"/>
      <c r="G26" s="653"/>
      <c r="H26" s="163"/>
      <c r="I26" s="400"/>
      <c r="J26" s="653"/>
      <c r="K26" s="653"/>
      <c r="L26" s="163"/>
      <c r="M26" s="21"/>
      <c r="O26" s="145"/>
    </row>
    <row r="27" spans="1:15" ht="15.75" x14ac:dyDescent="0.2">
      <c r="A27" s="47" t="s">
        <v>293</v>
      </c>
      <c r="B27" s="42"/>
      <c r="C27" s="282"/>
      <c r="D27" s="163"/>
      <c r="E27" s="25"/>
      <c r="F27" s="232"/>
      <c r="G27" s="282"/>
      <c r="H27" s="163"/>
      <c r="I27" s="25"/>
      <c r="J27" s="42"/>
      <c r="K27" s="42"/>
      <c r="L27" s="253"/>
      <c r="M27" s="21"/>
      <c r="O27" s="145"/>
    </row>
    <row r="28" spans="1:15" s="3" customFormat="1" ht="15.75" x14ac:dyDescent="0.2">
      <c r="A28" s="13" t="s">
        <v>398</v>
      </c>
      <c r="B28" s="234"/>
      <c r="C28" s="298"/>
      <c r="D28" s="168"/>
      <c r="E28" s="11"/>
      <c r="F28" s="297"/>
      <c r="G28" s="298"/>
      <c r="H28" s="168"/>
      <c r="I28" s="11"/>
      <c r="J28" s="234"/>
      <c r="K28" s="234"/>
      <c r="L28" s="411"/>
      <c r="M28" s="22"/>
      <c r="N28" s="145"/>
      <c r="O28" s="145"/>
    </row>
    <row r="29" spans="1:15" s="3" customFormat="1" ht="15.75" x14ac:dyDescent="0.2">
      <c r="A29" s="652" t="s">
        <v>401</v>
      </c>
      <c r="B29" s="653"/>
      <c r="C29" s="653"/>
      <c r="D29" s="163"/>
      <c r="E29" s="400"/>
      <c r="F29" s="653"/>
      <c r="G29" s="653"/>
      <c r="H29" s="163"/>
      <c r="I29" s="400"/>
      <c r="J29" s="653"/>
      <c r="K29" s="653"/>
      <c r="L29" s="163"/>
      <c r="M29" s="21"/>
      <c r="N29" s="145"/>
      <c r="O29" s="145"/>
    </row>
    <row r="30" spans="1:15" s="3" customFormat="1" ht="15.75" x14ac:dyDescent="0.2">
      <c r="A30" s="652" t="s">
        <v>402</v>
      </c>
      <c r="B30" s="653"/>
      <c r="C30" s="653"/>
      <c r="D30" s="163"/>
      <c r="E30" s="400"/>
      <c r="F30" s="653"/>
      <c r="G30" s="653"/>
      <c r="H30" s="163"/>
      <c r="I30" s="400"/>
      <c r="J30" s="653"/>
      <c r="K30" s="653"/>
      <c r="L30" s="163"/>
      <c r="M30" s="21"/>
      <c r="N30" s="145"/>
      <c r="O30" s="145"/>
    </row>
    <row r="31" spans="1:15" ht="15.75" x14ac:dyDescent="0.2">
      <c r="A31" s="652" t="s">
        <v>403</v>
      </c>
      <c r="B31" s="653"/>
      <c r="C31" s="653"/>
      <c r="D31" s="163"/>
      <c r="E31" s="400"/>
      <c r="F31" s="653"/>
      <c r="G31" s="653"/>
      <c r="H31" s="163"/>
      <c r="I31" s="400"/>
      <c r="J31" s="653"/>
      <c r="K31" s="653"/>
      <c r="L31" s="163"/>
      <c r="M31" s="21"/>
      <c r="O31" s="145"/>
    </row>
    <row r="32" spans="1:15" ht="15.75" x14ac:dyDescent="0.2">
      <c r="A32" s="13" t="s">
        <v>399</v>
      </c>
      <c r="B32" s="234"/>
      <c r="C32" s="298"/>
      <c r="D32" s="168"/>
      <c r="E32" s="11"/>
      <c r="F32" s="297"/>
      <c r="G32" s="298"/>
      <c r="H32" s="168"/>
      <c r="I32" s="11"/>
      <c r="J32" s="234"/>
      <c r="K32" s="234"/>
      <c r="L32" s="411"/>
      <c r="M32" s="22"/>
      <c r="O32" s="145"/>
    </row>
    <row r="33" spans="1:15" ht="15.75" x14ac:dyDescent="0.2">
      <c r="A33" s="13" t="s">
        <v>400</v>
      </c>
      <c r="B33" s="234"/>
      <c r="C33" s="298"/>
      <c r="D33" s="168"/>
      <c r="E33" s="11"/>
      <c r="F33" s="297"/>
      <c r="G33" s="298"/>
      <c r="H33" s="168"/>
      <c r="I33" s="11"/>
      <c r="J33" s="234"/>
      <c r="K33" s="234"/>
      <c r="L33" s="411"/>
      <c r="M33" s="22"/>
      <c r="O33" s="145"/>
    </row>
    <row r="34" spans="1:15" ht="15.75" x14ac:dyDescent="0.2">
      <c r="A34" s="12" t="s">
        <v>301</v>
      </c>
      <c r="B34" s="234"/>
      <c r="C34" s="298"/>
      <c r="D34" s="168"/>
      <c r="E34" s="11"/>
      <c r="F34" s="655"/>
      <c r="G34" s="656"/>
      <c r="H34" s="168"/>
      <c r="I34" s="417"/>
      <c r="J34" s="234"/>
      <c r="K34" s="234"/>
      <c r="L34" s="411"/>
      <c r="M34" s="22"/>
      <c r="O34" s="145"/>
    </row>
    <row r="35" spans="1:15" ht="15.75" x14ac:dyDescent="0.2">
      <c r="A35" s="12" t="s">
        <v>404</v>
      </c>
      <c r="B35" s="234"/>
      <c r="C35" s="298"/>
      <c r="D35" s="168"/>
      <c r="E35" s="11"/>
      <c r="F35" s="655"/>
      <c r="G35" s="657"/>
      <c r="H35" s="168"/>
      <c r="I35" s="417"/>
      <c r="J35" s="234"/>
      <c r="K35" s="234"/>
      <c r="L35" s="411"/>
      <c r="M35" s="22"/>
      <c r="O35" s="145"/>
    </row>
    <row r="36" spans="1:15" ht="15.75" x14ac:dyDescent="0.2">
      <c r="A36" s="12" t="s">
        <v>405</v>
      </c>
      <c r="B36" s="234"/>
      <c r="C36" s="298"/>
      <c r="D36" s="415"/>
      <c r="E36" s="22"/>
      <c r="F36" s="655"/>
      <c r="G36" s="656"/>
      <c r="H36" s="168"/>
      <c r="I36" s="417"/>
      <c r="J36" s="234"/>
      <c r="K36" s="234"/>
      <c r="L36" s="411"/>
      <c r="M36" s="22"/>
      <c r="O36" s="145"/>
    </row>
    <row r="37" spans="1:15" ht="15.75" x14ac:dyDescent="0.2">
      <c r="A37" s="17" t="s">
        <v>406</v>
      </c>
      <c r="B37" s="273"/>
      <c r="C37" s="304"/>
      <c r="D37" s="416"/>
      <c r="E37" s="34"/>
      <c r="F37" s="658"/>
      <c r="G37" s="659"/>
      <c r="H37" s="166"/>
      <c r="I37" s="34"/>
      <c r="J37" s="234"/>
      <c r="K37" s="234"/>
      <c r="L37" s="412"/>
      <c r="M37" s="34"/>
      <c r="O37" s="145"/>
    </row>
    <row r="38" spans="1:15" ht="15.75" x14ac:dyDescent="0.25">
      <c r="A38" s="45"/>
      <c r="B38" s="252"/>
      <c r="C38" s="252"/>
      <c r="D38" s="695"/>
      <c r="E38" s="696"/>
      <c r="F38" s="695"/>
      <c r="G38" s="695"/>
      <c r="H38" s="695"/>
      <c r="I38" s="695"/>
      <c r="J38" s="695"/>
      <c r="K38" s="695"/>
      <c r="L38" s="695"/>
      <c r="M38" s="291"/>
      <c r="O38" s="145"/>
    </row>
    <row r="39" spans="1:15" x14ac:dyDescent="0.2">
      <c r="A39" s="152"/>
      <c r="O39" s="145"/>
    </row>
    <row r="40" spans="1:15" ht="15.75" x14ac:dyDescent="0.25">
      <c r="A40" s="144" t="s">
        <v>290</v>
      </c>
      <c r="B40" s="693"/>
      <c r="C40" s="693"/>
      <c r="D40" s="693"/>
      <c r="E40" s="288"/>
      <c r="F40" s="696"/>
      <c r="G40" s="696"/>
      <c r="H40" s="696"/>
      <c r="I40" s="291"/>
      <c r="J40" s="696"/>
      <c r="K40" s="696"/>
      <c r="L40" s="696"/>
      <c r="M40" s="291"/>
      <c r="O40" s="145"/>
    </row>
    <row r="41" spans="1:15" ht="15.75" x14ac:dyDescent="0.25">
      <c r="A41" s="160"/>
      <c r="B41" s="292"/>
      <c r="C41" s="292"/>
      <c r="D41" s="292"/>
      <c r="E41" s="292"/>
      <c r="F41" s="291"/>
      <c r="G41" s="291"/>
      <c r="H41" s="291"/>
      <c r="I41" s="291"/>
      <c r="J41" s="291"/>
      <c r="K41" s="291"/>
      <c r="L41" s="291"/>
      <c r="M41" s="291"/>
      <c r="O41" s="145"/>
    </row>
    <row r="42" spans="1:15" ht="15.75" x14ac:dyDescent="0.25">
      <c r="A42" s="246"/>
      <c r="B42" s="690" t="s">
        <v>0</v>
      </c>
      <c r="C42" s="691"/>
      <c r="D42" s="691"/>
      <c r="E42" s="242"/>
      <c r="F42" s="291"/>
      <c r="G42" s="291"/>
      <c r="H42" s="291"/>
      <c r="I42" s="291"/>
      <c r="J42" s="291"/>
      <c r="K42" s="291"/>
      <c r="L42" s="291"/>
      <c r="M42" s="291"/>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499374.44325000001</v>
      </c>
      <c r="C45" s="300">
        <v>487718.42099999997</v>
      </c>
      <c r="D45" s="410">
        <f t="shared" ref="D45:D56" si="0">IF(B45=0, "    ---- ", IF(ABS(ROUND(100/B45*C45-100,1))&lt;999,ROUND(100/B45*C45-100,1),IF(ROUND(100/B45*C45-100,1)&gt;999,999,-999)))</f>
        <v>-2.2999999999999998</v>
      </c>
      <c r="E45" s="11">
        <f>IFERROR(100/'Skjema total MA'!C45*C45,0)</f>
        <v>14.609837484782823</v>
      </c>
      <c r="F45" s="142"/>
      <c r="G45" s="31"/>
      <c r="H45" s="156"/>
      <c r="I45" s="156"/>
      <c r="J45" s="35"/>
      <c r="K45" s="35"/>
      <c r="L45" s="156"/>
      <c r="M45" s="156"/>
      <c r="N45" s="145"/>
      <c r="O45" s="145"/>
    </row>
    <row r="46" spans="1:15" s="3" customFormat="1" ht="15.75" x14ac:dyDescent="0.2">
      <c r="A46" s="36" t="s">
        <v>407</v>
      </c>
      <c r="B46" s="278">
        <v>219974.55025</v>
      </c>
      <c r="C46" s="279">
        <v>210843.405</v>
      </c>
      <c r="D46" s="253">
        <f t="shared" si="0"/>
        <v>-4.2</v>
      </c>
      <c r="E46" s="25">
        <f>IFERROR(100/'Skjema total MA'!C46*C46,0)</f>
        <v>11.584251451440153</v>
      </c>
      <c r="F46" s="142"/>
      <c r="G46" s="31"/>
      <c r="H46" s="142"/>
      <c r="I46" s="142"/>
      <c r="J46" s="31"/>
      <c r="K46" s="31"/>
      <c r="L46" s="156"/>
      <c r="M46" s="156"/>
      <c r="N46" s="145"/>
      <c r="O46" s="145"/>
    </row>
    <row r="47" spans="1:15" s="3" customFormat="1" ht="15.75" x14ac:dyDescent="0.2">
      <c r="A47" s="36" t="s">
        <v>408</v>
      </c>
      <c r="B47" s="42">
        <v>279399.89299999998</v>
      </c>
      <c r="C47" s="282">
        <v>276875.016</v>
      </c>
      <c r="D47" s="253">
        <f>IF(B47=0, "    ---- ", IF(ABS(ROUND(100/B47*C47-100,1))&lt;999,ROUND(100/B47*C47-100,1),IF(ROUND(100/B47*C47-100,1)&gt;999,999,-999)))</f>
        <v>-0.9</v>
      </c>
      <c r="E47" s="25">
        <f>IFERROR(100/'Skjema total MA'!C47*C47,0)</f>
        <v>18.237043441452428</v>
      </c>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v>0</v>
      </c>
      <c r="C51" s="300">
        <v>14981.212</v>
      </c>
      <c r="D51" s="411" t="str">
        <f t="shared" si="0"/>
        <v xml:space="preserve">    ---- </v>
      </c>
      <c r="E51" s="11">
        <f>IFERROR(100/'Skjema total MA'!C51*C51,0)</f>
        <v>9.8675635086396234</v>
      </c>
      <c r="F51" s="142"/>
      <c r="G51" s="31"/>
      <c r="H51" s="142"/>
      <c r="I51" s="142"/>
      <c r="J51" s="31"/>
      <c r="K51" s="31"/>
      <c r="L51" s="156"/>
      <c r="M51" s="156"/>
      <c r="N51" s="145"/>
      <c r="O51" s="145"/>
    </row>
    <row r="52" spans="1:15" s="3" customFormat="1" ht="15.75" x14ac:dyDescent="0.2">
      <c r="A52" s="36" t="s">
        <v>407</v>
      </c>
      <c r="B52" s="278">
        <v>0</v>
      </c>
      <c r="C52" s="279">
        <v>12798.312</v>
      </c>
      <c r="D52" s="253" t="str">
        <f t="shared" si="0"/>
        <v xml:space="preserve">    ---- </v>
      </c>
      <c r="E52" s="25">
        <f>IFERROR(100/'Skjema total MA'!C52*C52,0)</f>
        <v>13.54692768716628</v>
      </c>
      <c r="F52" s="142"/>
      <c r="G52" s="31"/>
      <c r="H52" s="142"/>
      <c r="I52" s="142"/>
      <c r="J52" s="31"/>
      <c r="K52" s="31"/>
      <c r="L52" s="156"/>
      <c r="M52" s="156"/>
      <c r="N52" s="145"/>
      <c r="O52" s="145"/>
    </row>
    <row r="53" spans="1:15" s="3" customFormat="1" ht="15.75" x14ac:dyDescent="0.2">
      <c r="A53" s="36" t="s">
        <v>408</v>
      </c>
      <c r="B53" s="278">
        <v>0</v>
      </c>
      <c r="C53" s="279">
        <v>2182.9</v>
      </c>
      <c r="D53" s="253" t="str">
        <f t="shared" si="0"/>
        <v xml:space="preserve">    ---- </v>
      </c>
      <c r="E53" s="25">
        <f>IFERROR(100/'Skjema total MA'!C53*C53,0)</f>
        <v>3.8063502525767712</v>
      </c>
      <c r="F53" s="142"/>
      <c r="G53" s="31"/>
      <c r="H53" s="142"/>
      <c r="I53" s="142"/>
      <c r="J53" s="31"/>
      <c r="K53" s="31"/>
      <c r="L53" s="156"/>
      <c r="M53" s="156"/>
      <c r="N53" s="145"/>
      <c r="O53" s="145"/>
    </row>
    <row r="54" spans="1:15" s="3" customFormat="1" ht="15.75" x14ac:dyDescent="0.2">
      <c r="A54" s="37" t="s">
        <v>410</v>
      </c>
      <c r="B54" s="299">
        <v>0</v>
      </c>
      <c r="C54" s="300">
        <v>15932.654</v>
      </c>
      <c r="D54" s="411" t="str">
        <f t="shared" si="0"/>
        <v xml:space="preserve">    ---- </v>
      </c>
      <c r="E54" s="11">
        <f>IFERROR(100/'Skjema total MA'!C54*C54,0)</f>
        <v>14.199625871437078</v>
      </c>
      <c r="F54" s="142"/>
      <c r="G54" s="31"/>
      <c r="H54" s="142"/>
      <c r="I54" s="142"/>
      <c r="J54" s="31"/>
      <c r="K54" s="31"/>
      <c r="L54" s="156"/>
      <c r="M54" s="156"/>
      <c r="N54" s="145"/>
      <c r="O54" s="145"/>
    </row>
    <row r="55" spans="1:15" s="3" customFormat="1" ht="15.75" x14ac:dyDescent="0.2">
      <c r="A55" s="36" t="s">
        <v>407</v>
      </c>
      <c r="B55" s="278">
        <v>0</v>
      </c>
      <c r="C55" s="279">
        <v>15932.654</v>
      </c>
      <c r="D55" s="253" t="str">
        <f t="shared" si="0"/>
        <v xml:space="preserve">    ---- </v>
      </c>
      <c r="E55" s="25">
        <f>IFERROR(100/'Skjema total MA'!C55*C55,0)</f>
        <v>14.199625871437078</v>
      </c>
      <c r="F55" s="142"/>
      <c r="G55" s="31"/>
      <c r="H55" s="142"/>
      <c r="I55" s="142"/>
      <c r="J55" s="31"/>
      <c r="K55" s="31"/>
      <c r="L55" s="156"/>
      <c r="M55" s="156"/>
      <c r="N55" s="145"/>
      <c r="O55" s="145"/>
    </row>
    <row r="56" spans="1:15" s="3" customFormat="1" ht="15.75" x14ac:dyDescent="0.2">
      <c r="A56" s="44" t="s">
        <v>408</v>
      </c>
      <c r="B56" s="280">
        <v>0</v>
      </c>
      <c r="C56" s="281">
        <v>0</v>
      </c>
      <c r="D56" s="254" t="str">
        <f t="shared" si="0"/>
        <v xml:space="preserve">    ---- </v>
      </c>
      <c r="E56" s="20">
        <f>IFERROR(100/'Skjema total MA'!C56*C56,0)</f>
        <v>0</v>
      </c>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288"/>
      <c r="F60" s="694"/>
      <c r="G60" s="694"/>
      <c r="H60" s="694"/>
      <c r="I60" s="288"/>
      <c r="J60" s="694"/>
      <c r="K60" s="694"/>
      <c r="L60" s="694"/>
      <c r="M60" s="288"/>
      <c r="O60" s="145"/>
    </row>
    <row r="61" spans="1:15" x14ac:dyDescent="0.2">
      <c r="A61" s="141"/>
      <c r="B61" s="690" t="s">
        <v>0</v>
      </c>
      <c r="C61" s="691"/>
      <c r="D61" s="692"/>
      <c r="E61" s="289"/>
      <c r="F61" s="691" t="s">
        <v>1</v>
      </c>
      <c r="G61" s="691"/>
      <c r="H61" s="691"/>
      <c r="I61" s="293"/>
      <c r="J61" s="690" t="s">
        <v>2</v>
      </c>
      <c r="K61" s="691"/>
      <c r="L61" s="691"/>
      <c r="M61" s="293"/>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c r="C64" s="338"/>
      <c r="D64" s="336"/>
      <c r="E64" s="11"/>
      <c r="F64" s="337"/>
      <c r="G64" s="337"/>
      <c r="H64" s="336"/>
      <c r="I64" s="11"/>
      <c r="J64" s="298"/>
      <c r="K64" s="305"/>
      <c r="L64" s="411"/>
      <c r="M64" s="11"/>
      <c r="O64" s="145"/>
    </row>
    <row r="65" spans="1:15" x14ac:dyDescent="0.2">
      <c r="A65" s="402" t="s">
        <v>9</v>
      </c>
      <c r="B65" s="42"/>
      <c r="C65" s="142"/>
      <c r="D65" s="163"/>
      <c r="E65" s="25"/>
      <c r="F65" s="232"/>
      <c r="G65" s="142"/>
      <c r="H65" s="163"/>
      <c r="I65" s="25"/>
      <c r="J65" s="282"/>
      <c r="K65" s="42"/>
      <c r="L65" s="253"/>
      <c r="M65" s="25"/>
      <c r="O65" s="145"/>
    </row>
    <row r="66" spans="1:15" x14ac:dyDescent="0.2">
      <c r="A66" s="19" t="s">
        <v>10</v>
      </c>
      <c r="B66" s="284"/>
      <c r="C66" s="285"/>
      <c r="D66" s="163"/>
      <c r="E66" s="25"/>
      <c r="F66" s="284"/>
      <c r="G66" s="285"/>
      <c r="H66" s="163"/>
      <c r="I66" s="25"/>
      <c r="J66" s="282"/>
      <c r="K66" s="42"/>
      <c r="L66" s="253"/>
      <c r="M66" s="25"/>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c r="C75" s="232"/>
      <c r="D75" s="163"/>
      <c r="E75" s="25"/>
      <c r="F75" s="232"/>
      <c r="G75" s="142"/>
      <c r="H75" s="163"/>
      <c r="I75" s="25"/>
      <c r="J75" s="282"/>
      <c r="K75" s="42"/>
      <c r="L75" s="253"/>
      <c r="M75" s="25"/>
      <c r="O75" s="145"/>
    </row>
    <row r="76" spans="1:15" x14ac:dyDescent="0.2">
      <c r="A76" s="19" t="s">
        <v>9</v>
      </c>
      <c r="B76" s="232"/>
      <c r="C76" s="142"/>
      <c r="D76" s="163"/>
      <c r="E76" s="25"/>
      <c r="F76" s="232"/>
      <c r="G76" s="142"/>
      <c r="H76" s="163"/>
      <c r="I76" s="25"/>
      <c r="J76" s="282"/>
      <c r="K76" s="42"/>
      <c r="L76" s="253"/>
      <c r="M76" s="25"/>
      <c r="O76" s="145"/>
    </row>
    <row r="77" spans="1:15" x14ac:dyDescent="0.2">
      <c r="A77" s="19" t="s">
        <v>10</v>
      </c>
      <c r="B77" s="284"/>
      <c r="C77" s="285"/>
      <c r="D77" s="163"/>
      <c r="E77" s="25"/>
      <c r="F77" s="284"/>
      <c r="G77" s="285"/>
      <c r="H77" s="163"/>
      <c r="I77" s="25"/>
      <c r="J77" s="282"/>
      <c r="K77" s="42"/>
      <c r="L77" s="253"/>
      <c r="M77" s="25"/>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c r="C85" s="338"/>
      <c r="D85" s="168"/>
      <c r="E85" s="11"/>
      <c r="F85" s="337"/>
      <c r="G85" s="337"/>
      <c r="H85" s="168"/>
      <c r="I85" s="11"/>
      <c r="J85" s="298"/>
      <c r="K85" s="234"/>
      <c r="L85" s="411"/>
      <c r="M85" s="11"/>
      <c r="O85" s="145"/>
    </row>
    <row r="86" spans="1:15" x14ac:dyDescent="0.2">
      <c r="A86" s="19" t="s">
        <v>9</v>
      </c>
      <c r="B86" s="232"/>
      <c r="C86" s="142"/>
      <c r="D86" s="163"/>
      <c r="E86" s="25"/>
      <c r="F86" s="232"/>
      <c r="G86" s="142"/>
      <c r="H86" s="163"/>
      <c r="I86" s="25"/>
      <c r="J86" s="282"/>
      <c r="K86" s="42"/>
      <c r="L86" s="253"/>
      <c r="M86" s="25"/>
      <c r="O86" s="145"/>
    </row>
    <row r="87" spans="1:15" x14ac:dyDescent="0.2">
      <c r="A87" s="19" t="s">
        <v>10</v>
      </c>
      <c r="B87" s="232"/>
      <c r="C87" s="142"/>
      <c r="D87" s="163"/>
      <c r="E87" s="25"/>
      <c r="F87" s="232"/>
      <c r="G87" s="142"/>
      <c r="H87" s="163"/>
      <c r="I87" s="25"/>
      <c r="J87" s="282"/>
      <c r="K87" s="42"/>
      <c r="L87" s="253"/>
      <c r="M87" s="25"/>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c r="C96" s="232"/>
      <c r="D96" s="163"/>
      <c r="E96" s="25"/>
      <c r="F96" s="284"/>
      <c r="G96" s="284"/>
      <c r="H96" s="163"/>
      <c r="I96" s="25"/>
      <c r="J96" s="282"/>
      <c r="K96" s="42"/>
      <c r="L96" s="253"/>
      <c r="M96" s="25"/>
      <c r="O96" s="145"/>
    </row>
    <row r="97" spans="1:15" x14ac:dyDescent="0.2">
      <c r="A97" s="19" t="s">
        <v>9</v>
      </c>
      <c r="B97" s="284"/>
      <c r="C97" s="285"/>
      <c r="D97" s="163"/>
      <c r="E97" s="25"/>
      <c r="F97" s="232"/>
      <c r="G97" s="142"/>
      <c r="H97" s="163"/>
      <c r="I97" s="25"/>
      <c r="J97" s="282"/>
      <c r="K97" s="42"/>
      <c r="L97" s="253"/>
      <c r="M97" s="25"/>
      <c r="O97" s="145"/>
    </row>
    <row r="98" spans="1:15" x14ac:dyDescent="0.2">
      <c r="A98" s="19" t="s">
        <v>10</v>
      </c>
      <c r="B98" s="284"/>
      <c r="C98" s="285"/>
      <c r="D98" s="163"/>
      <c r="E98" s="25"/>
      <c r="F98" s="232"/>
      <c r="G98" s="232"/>
      <c r="H98" s="163"/>
      <c r="I98" s="25"/>
      <c r="J98" s="282"/>
      <c r="K98" s="42"/>
      <c r="L98" s="253"/>
      <c r="M98" s="25"/>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c r="C106" s="232"/>
      <c r="D106" s="163"/>
      <c r="E106" s="25"/>
      <c r="F106" s="232"/>
      <c r="G106" s="232"/>
      <c r="H106" s="163"/>
      <c r="I106" s="25"/>
      <c r="J106" s="282"/>
      <c r="K106" s="42"/>
      <c r="L106" s="253"/>
      <c r="M106" s="25"/>
      <c r="O106" s="145"/>
    </row>
    <row r="107" spans="1:15" ht="15.75" x14ac:dyDescent="0.2">
      <c r="A107" s="19" t="s">
        <v>414</v>
      </c>
      <c r="B107" s="232"/>
      <c r="C107" s="232"/>
      <c r="D107" s="163"/>
      <c r="E107" s="25"/>
      <c r="F107" s="232"/>
      <c r="G107" s="232"/>
      <c r="H107" s="163"/>
      <c r="I107" s="25"/>
      <c r="J107" s="282"/>
      <c r="K107" s="42"/>
      <c r="L107" s="253"/>
      <c r="M107" s="25"/>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c r="C109" s="156"/>
      <c r="D109" s="168"/>
      <c r="E109" s="11"/>
      <c r="F109" s="297"/>
      <c r="G109" s="156"/>
      <c r="H109" s="168"/>
      <c r="I109" s="11"/>
      <c r="J109" s="298"/>
      <c r="K109" s="234"/>
      <c r="L109" s="411"/>
      <c r="M109" s="11"/>
      <c r="O109" s="145"/>
    </row>
    <row r="110" spans="1:15" x14ac:dyDescent="0.2">
      <c r="A110" s="19" t="s">
        <v>9</v>
      </c>
      <c r="B110" s="232"/>
      <c r="C110" s="142"/>
      <c r="D110" s="163"/>
      <c r="E110" s="25"/>
      <c r="F110" s="232"/>
      <c r="G110" s="142"/>
      <c r="H110" s="163"/>
      <c r="I110" s="25"/>
      <c r="J110" s="282"/>
      <c r="K110" s="42"/>
      <c r="L110" s="253"/>
      <c r="M110" s="25"/>
      <c r="O110" s="145"/>
    </row>
    <row r="111" spans="1:15" x14ac:dyDescent="0.2">
      <c r="A111" s="19" t="s">
        <v>10</v>
      </c>
      <c r="B111" s="232"/>
      <c r="C111" s="142"/>
      <c r="D111" s="163"/>
      <c r="E111" s="25"/>
      <c r="F111" s="232"/>
      <c r="G111" s="142"/>
      <c r="H111" s="163"/>
      <c r="I111" s="25"/>
      <c r="J111" s="282"/>
      <c r="K111" s="42"/>
      <c r="L111" s="253"/>
      <c r="M111" s="25"/>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c r="C114" s="232"/>
      <c r="D114" s="163"/>
      <c r="E114" s="25"/>
      <c r="F114" s="232"/>
      <c r="G114" s="232"/>
      <c r="H114" s="163"/>
      <c r="I114" s="25"/>
      <c r="J114" s="282"/>
      <c r="K114" s="42"/>
      <c r="L114" s="253"/>
      <c r="M114" s="25"/>
      <c r="O114" s="145"/>
    </row>
    <row r="115" spans="1:15" ht="15.75" x14ac:dyDescent="0.2">
      <c r="A115" s="19" t="s">
        <v>414</v>
      </c>
      <c r="B115" s="232"/>
      <c r="C115" s="232"/>
      <c r="D115" s="163"/>
      <c r="E115" s="25"/>
      <c r="F115" s="232"/>
      <c r="G115" s="232"/>
      <c r="H115" s="163"/>
      <c r="I115" s="25"/>
      <c r="J115" s="282"/>
      <c r="K115" s="42"/>
      <c r="L115" s="253"/>
      <c r="M115" s="25"/>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c r="C117" s="156"/>
      <c r="D117" s="168"/>
      <c r="E117" s="11"/>
      <c r="F117" s="297"/>
      <c r="G117" s="156"/>
      <c r="H117" s="168"/>
      <c r="I117" s="11"/>
      <c r="J117" s="298"/>
      <c r="K117" s="234"/>
      <c r="L117" s="411"/>
      <c r="M117" s="11"/>
      <c r="O117" s="145"/>
    </row>
    <row r="118" spans="1:15" x14ac:dyDescent="0.2">
      <c r="A118" s="19" t="s">
        <v>9</v>
      </c>
      <c r="B118" s="232"/>
      <c r="C118" s="142"/>
      <c r="D118" s="163"/>
      <c r="E118" s="25"/>
      <c r="F118" s="232"/>
      <c r="G118" s="142"/>
      <c r="H118" s="163"/>
      <c r="I118" s="25"/>
      <c r="J118" s="282"/>
      <c r="K118" s="42"/>
      <c r="L118" s="253"/>
      <c r="M118" s="25"/>
      <c r="O118" s="145"/>
    </row>
    <row r="119" spans="1:15" x14ac:dyDescent="0.2">
      <c r="A119" s="19" t="s">
        <v>10</v>
      </c>
      <c r="B119" s="232"/>
      <c r="C119" s="142"/>
      <c r="D119" s="163"/>
      <c r="E119" s="25"/>
      <c r="F119" s="232"/>
      <c r="G119" s="142"/>
      <c r="H119" s="163"/>
      <c r="I119" s="25"/>
      <c r="J119" s="282"/>
      <c r="K119" s="42"/>
      <c r="L119" s="253"/>
      <c r="M119" s="25"/>
      <c r="O119" s="145"/>
    </row>
    <row r="120" spans="1:15" x14ac:dyDescent="0.2">
      <c r="A120" s="19" t="s">
        <v>27</v>
      </c>
      <c r="B120" s="232"/>
      <c r="C120" s="142"/>
      <c r="D120" s="163"/>
      <c r="E120" s="25"/>
      <c r="F120" s="232"/>
      <c r="G120" s="142"/>
      <c r="H120" s="163"/>
      <c r="I120" s="25"/>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c r="G122" s="232"/>
      <c r="H122" s="163"/>
      <c r="I122" s="25"/>
      <c r="J122" s="282"/>
      <c r="K122" s="42"/>
      <c r="L122" s="253"/>
      <c r="M122" s="25"/>
      <c r="O122" s="145"/>
    </row>
    <row r="123" spans="1:15" ht="15.75" x14ac:dyDescent="0.2">
      <c r="A123" s="19" t="s">
        <v>414</v>
      </c>
      <c r="B123" s="232"/>
      <c r="C123" s="232"/>
      <c r="D123" s="163"/>
      <c r="E123" s="25"/>
      <c r="F123" s="232"/>
      <c r="G123" s="232"/>
      <c r="H123" s="163"/>
      <c r="I123" s="25"/>
      <c r="J123" s="282"/>
      <c r="K123" s="42"/>
      <c r="L123" s="253"/>
      <c r="M123" s="25"/>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288"/>
      <c r="F128" s="694"/>
      <c r="G128" s="694"/>
      <c r="H128" s="694"/>
      <c r="I128" s="288"/>
      <c r="J128" s="694"/>
      <c r="K128" s="694"/>
      <c r="L128" s="694"/>
      <c r="M128" s="288"/>
    </row>
    <row r="129" spans="1:15" s="3" customFormat="1" x14ac:dyDescent="0.2">
      <c r="A129" s="141"/>
      <c r="B129" s="690" t="s">
        <v>0</v>
      </c>
      <c r="C129" s="691"/>
      <c r="D129" s="691"/>
      <c r="E129" s="290"/>
      <c r="F129" s="690" t="s">
        <v>1</v>
      </c>
      <c r="G129" s="691"/>
      <c r="H129" s="691"/>
      <c r="I129" s="293"/>
      <c r="J129" s="690" t="s">
        <v>2</v>
      </c>
      <c r="K129" s="691"/>
      <c r="L129" s="691"/>
      <c r="M129" s="293"/>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8:D18"/>
    <mergeCell ref="F18:H18"/>
    <mergeCell ref="J18:L18"/>
    <mergeCell ref="B42:D42"/>
    <mergeCell ref="B2:D2"/>
    <mergeCell ref="F2:H2"/>
    <mergeCell ref="J2:L2"/>
    <mergeCell ref="B4:D4"/>
    <mergeCell ref="F4:H4"/>
    <mergeCell ref="J4:L4"/>
    <mergeCell ref="B19:D19"/>
    <mergeCell ref="F19:H19"/>
    <mergeCell ref="J19:L19"/>
    <mergeCell ref="D38:F38"/>
    <mergeCell ref="G38:I38"/>
    <mergeCell ref="J38:L38"/>
    <mergeCell ref="B60:D60"/>
    <mergeCell ref="F60:H60"/>
    <mergeCell ref="J60:L60"/>
    <mergeCell ref="B40:D40"/>
    <mergeCell ref="F40:H40"/>
    <mergeCell ref="J40:L40"/>
    <mergeCell ref="B129:D129"/>
    <mergeCell ref="F129:H129"/>
    <mergeCell ref="J129:L129"/>
    <mergeCell ref="B61:D61"/>
    <mergeCell ref="F61:H61"/>
    <mergeCell ref="J61:L61"/>
    <mergeCell ref="B128:D128"/>
    <mergeCell ref="F128:H128"/>
    <mergeCell ref="J128:L128"/>
  </mergeCells>
  <conditionalFormatting sqref="B48:C50">
    <cfRule type="expression" dxfId="98" priority="127">
      <formula>kvartal &lt; 4</formula>
    </cfRule>
  </conditionalFormatting>
  <conditionalFormatting sqref="B29">
    <cfRule type="expression" dxfId="97" priority="125">
      <formula>kvartal &lt; 4</formula>
    </cfRule>
  </conditionalFormatting>
  <conditionalFormatting sqref="B30">
    <cfRule type="expression" dxfId="96" priority="124">
      <formula>kvartal &lt; 4</formula>
    </cfRule>
  </conditionalFormatting>
  <conditionalFormatting sqref="B31">
    <cfRule type="expression" dxfId="95" priority="123">
      <formula>kvartal &lt; 4</formula>
    </cfRule>
  </conditionalFormatting>
  <conditionalFormatting sqref="C29">
    <cfRule type="expression" dxfId="94" priority="122">
      <formula>kvartal &lt; 4</formula>
    </cfRule>
  </conditionalFormatting>
  <conditionalFormatting sqref="C30">
    <cfRule type="expression" dxfId="93" priority="121">
      <formula>kvartal &lt; 4</formula>
    </cfRule>
  </conditionalFormatting>
  <conditionalFormatting sqref="C31">
    <cfRule type="expression" dxfId="92" priority="120">
      <formula>kvartal &lt; 4</formula>
    </cfRule>
  </conditionalFormatting>
  <conditionalFormatting sqref="B23:C25">
    <cfRule type="expression" dxfId="91" priority="119">
      <formula>kvartal &lt; 4</formula>
    </cfRule>
  </conditionalFormatting>
  <conditionalFormatting sqref="F23:G25">
    <cfRule type="expression" dxfId="90" priority="115">
      <formula>kvartal &lt; 4</formula>
    </cfRule>
  </conditionalFormatting>
  <conditionalFormatting sqref="F29">
    <cfRule type="expression" dxfId="89" priority="108">
      <formula>kvartal &lt; 4</formula>
    </cfRule>
  </conditionalFormatting>
  <conditionalFormatting sqref="F30">
    <cfRule type="expression" dxfId="88" priority="107">
      <formula>kvartal &lt; 4</formula>
    </cfRule>
  </conditionalFormatting>
  <conditionalFormatting sqref="F31">
    <cfRule type="expression" dxfId="87" priority="106">
      <formula>kvartal &lt; 4</formula>
    </cfRule>
  </conditionalFormatting>
  <conditionalFormatting sqref="G29">
    <cfRule type="expression" dxfId="86" priority="105">
      <formula>kvartal &lt; 4</formula>
    </cfRule>
  </conditionalFormatting>
  <conditionalFormatting sqref="G30">
    <cfRule type="expression" dxfId="85" priority="104">
      <formula>kvartal &lt; 4</formula>
    </cfRule>
  </conditionalFormatting>
  <conditionalFormatting sqref="G31">
    <cfRule type="expression" dxfId="84" priority="103">
      <formula>kvartal &lt; 4</formula>
    </cfRule>
  </conditionalFormatting>
  <conditionalFormatting sqref="B26">
    <cfRule type="expression" dxfId="83" priority="102">
      <formula>kvartal &lt; 4</formula>
    </cfRule>
  </conditionalFormatting>
  <conditionalFormatting sqref="C26">
    <cfRule type="expression" dxfId="82" priority="101">
      <formula>kvartal &lt; 4</formula>
    </cfRule>
  </conditionalFormatting>
  <conditionalFormatting sqref="F26">
    <cfRule type="expression" dxfId="81" priority="100">
      <formula>kvartal &lt; 4</formula>
    </cfRule>
  </conditionalFormatting>
  <conditionalFormatting sqref="G26">
    <cfRule type="expression" dxfId="80" priority="99">
      <formula>kvartal &lt; 4</formula>
    </cfRule>
  </conditionalFormatting>
  <conditionalFormatting sqref="J23:K26">
    <cfRule type="expression" dxfId="79" priority="98">
      <formula>kvartal &lt; 4</formula>
    </cfRule>
  </conditionalFormatting>
  <conditionalFormatting sqref="J29:K31">
    <cfRule type="expression" dxfId="78" priority="96">
      <formula>kvartal &lt; 4</formula>
    </cfRule>
  </conditionalFormatting>
  <conditionalFormatting sqref="B67">
    <cfRule type="expression" dxfId="77" priority="95">
      <formula>kvartal &lt; 4</formula>
    </cfRule>
  </conditionalFormatting>
  <conditionalFormatting sqref="C67">
    <cfRule type="expression" dxfId="76" priority="94">
      <formula>kvartal &lt; 4</formula>
    </cfRule>
  </conditionalFormatting>
  <conditionalFormatting sqref="B70">
    <cfRule type="expression" dxfId="75" priority="93">
      <formula>kvartal &lt; 4</formula>
    </cfRule>
  </conditionalFormatting>
  <conditionalFormatting sqref="C70">
    <cfRule type="expression" dxfId="74" priority="92">
      <formula>kvartal &lt; 4</formula>
    </cfRule>
  </conditionalFormatting>
  <conditionalFormatting sqref="B78">
    <cfRule type="expression" dxfId="73" priority="91">
      <formula>kvartal &lt; 4</formula>
    </cfRule>
  </conditionalFormatting>
  <conditionalFormatting sqref="C78">
    <cfRule type="expression" dxfId="72" priority="90">
      <formula>kvartal &lt; 4</formula>
    </cfRule>
  </conditionalFormatting>
  <conditionalFormatting sqref="B81">
    <cfRule type="expression" dxfId="71" priority="89">
      <formula>kvartal &lt; 4</formula>
    </cfRule>
  </conditionalFormatting>
  <conditionalFormatting sqref="C81">
    <cfRule type="expression" dxfId="70" priority="88">
      <formula>kvartal &lt; 4</formula>
    </cfRule>
  </conditionalFormatting>
  <conditionalFormatting sqref="B88">
    <cfRule type="expression" dxfId="69" priority="79">
      <formula>kvartal &lt; 4</formula>
    </cfRule>
  </conditionalFormatting>
  <conditionalFormatting sqref="C88">
    <cfRule type="expression" dxfId="68" priority="78">
      <formula>kvartal &lt; 4</formula>
    </cfRule>
  </conditionalFormatting>
  <conditionalFormatting sqref="B91">
    <cfRule type="expression" dxfId="67" priority="77">
      <formula>kvartal &lt; 4</formula>
    </cfRule>
  </conditionalFormatting>
  <conditionalFormatting sqref="C91">
    <cfRule type="expression" dxfId="66" priority="76">
      <formula>kvartal &lt; 4</formula>
    </cfRule>
  </conditionalFormatting>
  <conditionalFormatting sqref="B99">
    <cfRule type="expression" dxfId="65" priority="75">
      <formula>kvartal &lt; 4</formula>
    </cfRule>
  </conditionalFormatting>
  <conditionalFormatting sqref="C99">
    <cfRule type="expression" dxfId="64" priority="74">
      <formula>kvartal &lt; 4</formula>
    </cfRule>
  </conditionalFormatting>
  <conditionalFormatting sqref="B102">
    <cfRule type="expression" dxfId="63" priority="73">
      <formula>kvartal &lt; 4</formula>
    </cfRule>
  </conditionalFormatting>
  <conditionalFormatting sqref="C102">
    <cfRule type="expression" dxfId="62" priority="72">
      <formula>kvartal &lt; 4</formula>
    </cfRule>
  </conditionalFormatting>
  <conditionalFormatting sqref="B113">
    <cfRule type="expression" dxfId="61" priority="71">
      <formula>kvartal &lt; 4</formula>
    </cfRule>
  </conditionalFormatting>
  <conditionalFormatting sqref="C113">
    <cfRule type="expression" dxfId="60" priority="70">
      <formula>kvartal &lt; 4</formula>
    </cfRule>
  </conditionalFormatting>
  <conditionalFormatting sqref="B121">
    <cfRule type="expression" dxfId="59" priority="69">
      <formula>kvartal &lt; 4</formula>
    </cfRule>
  </conditionalFormatting>
  <conditionalFormatting sqref="C121">
    <cfRule type="expression" dxfId="58" priority="68">
      <formula>kvartal &lt; 4</formula>
    </cfRule>
  </conditionalFormatting>
  <conditionalFormatting sqref="F68">
    <cfRule type="expression" dxfId="57" priority="67">
      <formula>kvartal &lt; 4</formula>
    </cfRule>
  </conditionalFormatting>
  <conditionalFormatting sqref="G68">
    <cfRule type="expression" dxfId="56" priority="66">
      <formula>kvartal &lt; 4</formula>
    </cfRule>
  </conditionalFormatting>
  <conditionalFormatting sqref="F69:G69">
    <cfRule type="expression" dxfId="55" priority="65">
      <formula>kvartal &lt; 4</formula>
    </cfRule>
  </conditionalFormatting>
  <conditionalFormatting sqref="F71:G72">
    <cfRule type="expression" dxfId="54" priority="64">
      <formula>kvartal &lt; 4</formula>
    </cfRule>
  </conditionalFormatting>
  <conditionalFormatting sqref="F79:G80">
    <cfRule type="expression" dxfId="53" priority="63">
      <formula>kvartal &lt; 4</formula>
    </cfRule>
  </conditionalFormatting>
  <conditionalFormatting sqref="F82:G83">
    <cfRule type="expression" dxfId="52" priority="62">
      <formula>kvartal &lt; 4</formula>
    </cfRule>
  </conditionalFormatting>
  <conditionalFormatting sqref="F89:G90">
    <cfRule type="expression" dxfId="51" priority="57">
      <formula>kvartal &lt; 4</formula>
    </cfRule>
  </conditionalFormatting>
  <conditionalFormatting sqref="F92:G93">
    <cfRule type="expression" dxfId="50" priority="56">
      <formula>kvartal &lt; 4</formula>
    </cfRule>
  </conditionalFormatting>
  <conditionalFormatting sqref="F100:G101">
    <cfRule type="expression" dxfId="49" priority="55">
      <formula>kvartal &lt; 4</formula>
    </cfRule>
  </conditionalFormatting>
  <conditionalFormatting sqref="F103:G104">
    <cfRule type="expression" dxfId="48" priority="54">
      <formula>kvartal &lt; 4</formula>
    </cfRule>
  </conditionalFormatting>
  <conditionalFormatting sqref="F113">
    <cfRule type="expression" dxfId="47" priority="53">
      <formula>kvartal &lt; 4</formula>
    </cfRule>
  </conditionalFormatting>
  <conditionalFormatting sqref="G113">
    <cfRule type="expression" dxfId="46" priority="52">
      <formula>kvartal &lt; 4</formula>
    </cfRule>
  </conditionalFormatting>
  <conditionalFormatting sqref="F121:G121">
    <cfRule type="expression" dxfId="45" priority="51">
      <formula>kvartal &lt; 4</formula>
    </cfRule>
  </conditionalFormatting>
  <conditionalFormatting sqref="F67:G67">
    <cfRule type="expression" dxfId="44" priority="50">
      <formula>kvartal &lt; 4</formula>
    </cfRule>
  </conditionalFormatting>
  <conditionalFormatting sqref="F70:G70">
    <cfRule type="expression" dxfId="43" priority="49">
      <formula>kvartal &lt; 4</formula>
    </cfRule>
  </conditionalFormatting>
  <conditionalFormatting sqref="F78:G78">
    <cfRule type="expression" dxfId="42" priority="48">
      <formula>kvartal &lt; 4</formula>
    </cfRule>
  </conditionalFormatting>
  <conditionalFormatting sqref="F81:G81">
    <cfRule type="expression" dxfId="41" priority="47">
      <formula>kvartal &lt; 4</formula>
    </cfRule>
  </conditionalFormatting>
  <conditionalFormatting sqref="F88:G88">
    <cfRule type="expression" dxfId="40" priority="41">
      <formula>kvartal &lt; 4</formula>
    </cfRule>
  </conditionalFormatting>
  <conditionalFormatting sqref="F91">
    <cfRule type="expression" dxfId="39" priority="40">
      <formula>kvartal &lt; 4</formula>
    </cfRule>
  </conditionalFormatting>
  <conditionalFormatting sqref="G91">
    <cfRule type="expression" dxfId="38" priority="39">
      <formula>kvartal &lt; 4</formula>
    </cfRule>
  </conditionalFormatting>
  <conditionalFormatting sqref="F99">
    <cfRule type="expression" dxfId="37" priority="38">
      <formula>kvartal &lt; 4</formula>
    </cfRule>
  </conditionalFormatting>
  <conditionalFormatting sqref="G99">
    <cfRule type="expression" dxfId="36" priority="37">
      <formula>kvartal &lt; 4</formula>
    </cfRule>
  </conditionalFormatting>
  <conditionalFormatting sqref="G102">
    <cfRule type="expression" dxfId="35" priority="36">
      <formula>kvartal &lt; 4</formula>
    </cfRule>
  </conditionalFormatting>
  <conditionalFormatting sqref="F102">
    <cfRule type="expression" dxfId="34" priority="35">
      <formula>kvartal &lt; 4</formula>
    </cfRule>
  </conditionalFormatting>
  <conditionalFormatting sqref="J67:K71">
    <cfRule type="expression" dxfId="33" priority="34">
      <formula>kvartal &lt; 4</formula>
    </cfRule>
  </conditionalFormatting>
  <conditionalFormatting sqref="J72:K72">
    <cfRule type="expression" dxfId="32" priority="33">
      <formula>kvartal &lt; 4</formula>
    </cfRule>
  </conditionalFormatting>
  <conditionalFormatting sqref="J78:K83">
    <cfRule type="expression" dxfId="31" priority="32">
      <formula>kvartal &lt; 4</formula>
    </cfRule>
  </conditionalFormatting>
  <conditionalFormatting sqref="J88:K93">
    <cfRule type="expression" dxfId="30" priority="29">
      <formula>kvartal &lt; 4</formula>
    </cfRule>
  </conditionalFormatting>
  <conditionalFormatting sqref="J99:K104">
    <cfRule type="expression" dxfId="29" priority="28">
      <formula>kvartal &lt; 4</formula>
    </cfRule>
  </conditionalFormatting>
  <conditionalFormatting sqref="J113:K113">
    <cfRule type="expression" dxfId="28" priority="27">
      <formula>kvartal &lt; 4</formula>
    </cfRule>
  </conditionalFormatting>
  <conditionalFormatting sqref="J121:K121">
    <cfRule type="expression" dxfId="27" priority="26">
      <formula>kvartal &lt; 4</formula>
    </cfRule>
  </conditionalFormatting>
  <conditionalFormatting sqref="A23:A25">
    <cfRule type="expression" dxfId="26" priority="10">
      <formula>kvartal &lt; 4</formula>
    </cfRule>
  </conditionalFormatting>
  <conditionalFormatting sqref="A48:A50">
    <cfRule type="expression" dxfId="25" priority="9">
      <formula>kvartal &lt; 4</formula>
    </cfRule>
  </conditionalFormatting>
  <conditionalFormatting sqref="A67:A72">
    <cfRule type="expression" dxfId="24" priority="8">
      <formula>kvartal &lt; 4</formula>
    </cfRule>
  </conditionalFormatting>
  <conditionalFormatting sqref="A113">
    <cfRule type="expression" dxfId="23" priority="7">
      <formula>kvartal &lt; 4</formula>
    </cfRule>
  </conditionalFormatting>
  <conditionalFormatting sqref="A121">
    <cfRule type="expression" dxfId="22" priority="6">
      <formula>kvartal &lt; 4</formula>
    </cfRule>
  </conditionalFormatting>
  <conditionalFormatting sqref="A26">
    <cfRule type="expression" dxfId="21" priority="5">
      <formula>kvartal &lt; 4</formula>
    </cfRule>
  </conditionalFormatting>
  <conditionalFormatting sqref="A29:A31">
    <cfRule type="expression" dxfId="20" priority="4">
      <formula>kvartal &lt; 4</formula>
    </cfRule>
  </conditionalFormatting>
  <conditionalFormatting sqref="A78:A83">
    <cfRule type="expression" dxfId="19" priority="3">
      <formula>kvartal &lt; 4</formula>
    </cfRule>
  </conditionalFormatting>
  <conditionalFormatting sqref="A88:A93">
    <cfRule type="expression" dxfId="18" priority="2">
      <formula>kvartal &lt; 4</formula>
    </cfRule>
  </conditionalFormatting>
  <conditionalFormatting sqref="A99:A104">
    <cfRule type="expression" dxfId="17" priority="1">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AV64"/>
  <sheetViews>
    <sheetView showGridLines="0" zoomScale="60" zoomScaleNormal="6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90" style="426" customWidth="1"/>
    <col min="2" max="46" width="11.7109375" style="426" customWidth="1"/>
    <col min="47" max="16384" width="11.42578125" style="426"/>
  </cols>
  <sheetData>
    <row r="1" spans="1:48" ht="20.25" x14ac:dyDescent="0.3">
      <c r="A1" s="423" t="s">
        <v>302</v>
      </c>
      <c r="B1" s="424" t="s">
        <v>53</v>
      </c>
      <c r="C1" s="425"/>
      <c r="D1" s="425"/>
      <c r="E1" s="425"/>
      <c r="F1" s="425"/>
      <c r="G1" s="425"/>
      <c r="H1" s="425"/>
      <c r="I1" s="425"/>
      <c r="J1" s="425"/>
    </row>
    <row r="2" spans="1:48" ht="20.25" x14ac:dyDescent="0.3">
      <c r="A2" s="423" t="s">
        <v>273</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row>
    <row r="3" spans="1:48" ht="18.75" x14ac:dyDescent="0.3">
      <c r="A3" s="428" t="s">
        <v>303</v>
      </c>
      <c r="B3" s="429"/>
      <c r="C3" s="429"/>
      <c r="D3" s="429"/>
      <c r="E3" s="429"/>
      <c r="F3" s="429"/>
      <c r="G3" s="429"/>
      <c r="H3" s="429"/>
      <c r="I3" s="429"/>
      <c r="J3" s="429"/>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30"/>
      <c r="AS3" s="427"/>
      <c r="AT3" s="427"/>
    </row>
    <row r="4" spans="1:48" ht="18.75" customHeight="1" x14ac:dyDescent="0.25">
      <c r="A4" s="431" t="s">
        <v>389</v>
      </c>
      <c r="B4" s="432"/>
      <c r="C4" s="432"/>
      <c r="D4" s="433"/>
      <c r="E4" s="434"/>
      <c r="F4" s="432"/>
      <c r="G4" s="433"/>
      <c r="H4" s="434"/>
      <c r="I4" s="432"/>
      <c r="J4" s="433"/>
      <c r="K4" s="435"/>
      <c r="L4" s="435"/>
      <c r="M4" s="435"/>
      <c r="N4" s="436"/>
      <c r="O4" s="435"/>
      <c r="P4" s="437"/>
      <c r="Q4" s="436"/>
      <c r="R4" s="435"/>
      <c r="S4" s="437"/>
      <c r="T4" s="436"/>
      <c r="U4" s="435"/>
      <c r="V4" s="437"/>
      <c r="W4" s="436"/>
      <c r="X4" s="435"/>
      <c r="Y4" s="437"/>
      <c r="Z4" s="436"/>
      <c r="AA4" s="435"/>
      <c r="AB4" s="437"/>
      <c r="AC4" s="436"/>
      <c r="AD4" s="435"/>
      <c r="AE4" s="437"/>
      <c r="AF4" s="436"/>
      <c r="AG4" s="435"/>
      <c r="AH4" s="437"/>
      <c r="AI4" s="436"/>
      <c r="AJ4" s="435"/>
      <c r="AK4" s="437"/>
      <c r="AL4" s="436"/>
      <c r="AM4" s="435"/>
      <c r="AN4" s="437"/>
      <c r="AO4" s="438"/>
      <c r="AP4" s="439"/>
      <c r="AQ4" s="440"/>
      <c r="AR4" s="436"/>
      <c r="AS4" s="435"/>
      <c r="AT4" s="441"/>
    </row>
    <row r="5" spans="1:48" ht="18.75" customHeight="1" x14ac:dyDescent="0.3">
      <c r="A5" s="442" t="s">
        <v>112</v>
      </c>
      <c r="B5" s="703" t="s">
        <v>190</v>
      </c>
      <c r="C5" s="704"/>
      <c r="D5" s="705"/>
      <c r="E5" s="703" t="s">
        <v>191</v>
      </c>
      <c r="F5" s="704"/>
      <c r="G5" s="705"/>
      <c r="H5" s="703" t="s">
        <v>192</v>
      </c>
      <c r="I5" s="704"/>
      <c r="J5" s="705"/>
      <c r="K5" s="703" t="s">
        <v>193</v>
      </c>
      <c r="L5" s="704"/>
      <c r="M5" s="705"/>
      <c r="N5" s="703" t="s">
        <v>194</v>
      </c>
      <c r="O5" s="704"/>
      <c r="P5" s="705"/>
      <c r="Q5" s="703"/>
      <c r="R5" s="704"/>
      <c r="S5" s="705"/>
      <c r="T5" s="703" t="s">
        <v>65</v>
      </c>
      <c r="U5" s="704"/>
      <c r="V5" s="705"/>
      <c r="W5" s="443"/>
      <c r="X5" s="444"/>
      <c r="Y5" s="445"/>
      <c r="Z5" s="703" t="s">
        <v>195</v>
      </c>
      <c r="AA5" s="704"/>
      <c r="AB5" s="705"/>
      <c r="AC5" s="443"/>
      <c r="AD5" s="444"/>
      <c r="AE5" s="445"/>
      <c r="AF5" s="703" t="s">
        <v>77</v>
      </c>
      <c r="AG5" s="704"/>
      <c r="AH5" s="705"/>
      <c r="AI5" s="703"/>
      <c r="AJ5" s="704"/>
      <c r="AK5" s="705"/>
      <c r="AL5" s="703" t="s">
        <v>78</v>
      </c>
      <c r="AM5" s="704"/>
      <c r="AN5" s="705"/>
      <c r="AO5" s="706" t="s">
        <v>2</v>
      </c>
      <c r="AP5" s="707"/>
      <c r="AQ5" s="708"/>
      <c r="AR5" s="703" t="s">
        <v>304</v>
      </c>
      <c r="AS5" s="704"/>
      <c r="AT5" s="705"/>
    </row>
    <row r="6" spans="1:48" ht="21" customHeight="1" x14ac:dyDescent="0.3">
      <c r="A6" s="446"/>
      <c r="B6" s="697" t="s">
        <v>196</v>
      </c>
      <c r="C6" s="698"/>
      <c r="D6" s="699"/>
      <c r="E6" s="697" t="s">
        <v>197</v>
      </c>
      <c r="F6" s="698"/>
      <c r="G6" s="699"/>
      <c r="H6" s="697" t="s">
        <v>197</v>
      </c>
      <c r="I6" s="698"/>
      <c r="J6" s="699"/>
      <c r="K6" s="697" t="s">
        <v>198</v>
      </c>
      <c r="L6" s="698"/>
      <c r="M6" s="699"/>
      <c r="N6" s="697" t="s">
        <v>98</v>
      </c>
      <c r="O6" s="698"/>
      <c r="P6" s="699"/>
      <c r="Q6" s="697" t="s">
        <v>65</v>
      </c>
      <c r="R6" s="698"/>
      <c r="S6" s="699"/>
      <c r="T6" s="697" t="s">
        <v>199</v>
      </c>
      <c r="U6" s="698"/>
      <c r="V6" s="699"/>
      <c r="W6" s="697" t="s">
        <v>70</v>
      </c>
      <c r="X6" s="698"/>
      <c r="Y6" s="699"/>
      <c r="Z6" s="697" t="s">
        <v>196</v>
      </c>
      <c r="AA6" s="698"/>
      <c r="AB6" s="699"/>
      <c r="AC6" s="697" t="s">
        <v>76</v>
      </c>
      <c r="AD6" s="698"/>
      <c r="AE6" s="699"/>
      <c r="AF6" s="697" t="s">
        <v>200</v>
      </c>
      <c r="AG6" s="698"/>
      <c r="AH6" s="699"/>
      <c r="AI6" s="697" t="s">
        <v>72</v>
      </c>
      <c r="AJ6" s="698"/>
      <c r="AK6" s="699"/>
      <c r="AL6" s="697" t="s">
        <v>197</v>
      </c>
      <c r="AM6" s="698"/>
      <c r="AN6" s="699"/>
      <c r="AO6" s="700" t="s">
        <v>305</v>
      </c>
      <c r="AP6" s="701"/>
      <c r="AQ6" s="702"/>
      <c r="AR6" s="697" t="s">
        <v>306</v>
      </c>
      <c r="AS6" s="698"/>
      <c r="AT6" s="699"/>
    </row>
    <row r="7" spans="1:48" ht="18.75" customHeight="1" x14ac:dyDescent="0.3">
      <c r="A7" s="446"/>
      <c r="B7" s="446"/>
      <c r="C7" s="446"/>
      <c r="D7" s="447" t="s">
        <v>87</v>
      </c>
      <c r="E7" s="446"/>
      <c r="F7" s="446"/>
      <c r="G7" s="447" t="s">
        <v>87</v>
      </c>
      <c r="H7" s="446"/>
      <c r="I7" s="446"/>
      <c r="J7" s="447" t="s">
        <v>87</v>
      </c>
      <c r="K7" s="446"/>
      <c r="L7" s="446"/>
      <c r="M7" s="447" t="s">
        <v>87</v>
      </c>
      <c r="N7" s="446"/>
      <c r="O7" s="446"/>
      <c r="P7" s="447" t="s">
        <v>87</v>
      </c>
      <c r="Q7" s="446"/>
      <c r="R7" s="446"/>
      <c r="S7" s="447" t="s">
        <v>87</v>
      </c>
      <c r="T7" s="446"/>
      <c r="U7" s="446"/>
      <c r="V7" s="447" t="s">
        <v>87</v>
      </c>
      <c r="W7" s="446"/>
      <c r="X7" s="446"/>
      <c r="Y7" s="447" t="s">
        <v>87</v>
      </c>
      <c r="Z7" s="446"/>
      <c r="AA7" s="446"/>
      <c r="AB7" s="447" t="s">
        <v>87</v>
      </c>
      <c r="AC7" s="446"/>
      <c r="AD7" s="446"/>
      <c r="AE7" s="447" t="s">
        <v>87</v>
      </c>
      <c r="AF7" s="446"/>
      <c r="AG7" s="446"/>
      <c r="AH7" s="447" t="s">
        <v>87</v>
      </c>
      <c r="AI7" s="446"/>
      <c r="AJ7" s="446"/>
      <c r="AK7" s="447" t="s">
        <v>87</v>
      </c>
      <c r="AL7" s="446"/>
      <c r="AM7" s="446"/>
      <c r="AN7" s="447" t="s">
        <v>87</v>
      </c>
      <c r="AO7" s="446"/>
      <c r="AP7" s="446"/>
      <c r="AQ7" s="447" t="s">
        <v>87</v>
      </c>
      <c r="AR7" s="446"/>
      <c r="AS7" s="446"/>
      <c r="AT7" s="447" t="s">
        <v>87</v>
      </c>
    </row>
    <row r="8" spans="1:48" ht="18.75" customHeight="1" x14ac:dyDescent="0.25">
      <c r="A8" s="448" t="s">
        <v>307</v>
      </c>
      <c r="B8" s="449">
        <v>2016</v>
      </c>
      <c r="C8" s="449">
        <v>2017</v>
      </c>
      <c r="D8" s="450" t="s">
        <v>89</v>
      </c>
      <c r="E8" s="449">
        <v>2016</v>
      </c>
      <c r="F8" s="449">
        <v>2017</v>
      </c>
      <c r="G8" s="450" t="s">
        <v>89</v>
      </c>
      <c r="H8" s="449">
        <v>2016</v>
      </c>
      <c r="I8" s="449">
        <v>2017</v>
      </c>
      <c r="J8" s="450" t="s">
        <v>89</v>
      </c>
      <c r="K8" s="449">
        <v>2016</v>
      </c>
      <c r="L8" s="449">
        <v>2017</v>
      </c>
      <c r="M8" s="450" t="s">
        <v>89</v>
      </c>
      <c r="N8" s="449">
        <v>2016</v>
      </c>
      <c r="O8" s="449">
        <v>2017</v>
      </c>
      <c r="P8" s="450" t="s">
        <v>89</v>
      </c>
      <c r="Q8" s="449">
        <v>2016</v>
      </c>
      <c r="R8" s="449">
        <v>2017</v>
      </c>
      <c r="S8" s="450" t="s">
        <v>89</v>
      </c>
      <c r="T8" s="449">
        <v>2016</v>
      </c>
      <c r="U8" s="449">
        <v>2017</v>
      </c>
      <c r="V8" s="450" t="s">
        <v>89</v>
      </c>
      <c r="W8" s="449">
        <v>2016</v>
      </c>
      <c r="X8" s="449">
        <v>2017</v>
      </c>
      <c r="Y8" s="450" t="s">
        <v>89</v>
      </c>
      <c r="Z8" s="449">
        <v>2016</v>
      </c>
      <c r="AA8" s="449">
        <v>2017</v>
      </c>
      <c r="AB8" s="450" t="s">
        <v>89</v>
      </c>
      <c r="AC8" s="449">
        <v>2016</v>
      </c>
      <c r="AD8" s="449">
        <v>2017</v>
      </c>
      <c r="AE8" s="450" t="s">
        <v>89</v>
      </c>
      <c r="AF8" s="449">
        <v>2016</v>
      </c>
      <c r="AG8" s="449">
        <v>2017</v>
      </c>
      <c r="AH8" s="450" t="s">
        <v>89</v>
      </c>
      <c r="AI8" s="449">
        <v>2016</v>
      </c>
      <c r="AJ8" s="449">
        <v>2017</v>
      </c>
      <c r="AK8" s="450" t="s">
        <v>89</v>
      </c>
      <c r="AL8" s="449">
        <v>2016</v>
      </c>
      <c r="AM8" s="449">
        <v>2017</v>
      </c>
      <c r="AN8" s="450" t="s">
        <v>89</v>
      </c>
      <c r="AO8" s="449">
        <v>2016</v>
      </c>
      <c r="AP8" s="449">
        <v>2017</v>
      </c>
      <c r="AQ8" s="450" t="s">
        <v>89</v>
      </c>
      <c r="AR8" s="449">
        <v>2016</v>
      </c>
      <c r="AS8" s="449">
        <v>2017</v>
      </c>
      <c r="AT8" s="450" t="s">
        <v>89</v>
      </c>
    </row>
    <row r="9" spans="1:48" ht="18.75" customHeight="1" x14ac:dyDescent="0.3">
      <c r="A9" s="446" t="s">
        <v>308</v>
      </c>
      <c r="B9" s="451"/>
      <c r="C9" s="452"/>
      <c r="D9" s="453"/>
      <c r="E9" s="451"/>
      <c r="F9" s="452"/>
      <c r="G9" s="453"/>
      <c r="H9" s="451"/>
      <c r="I9" s="452"/>
      <c r="J9" s="453"/>
      <c r="K9" s="451"/>
      <c r="L9" s="452"/>
      <c r="M9" s="451"/>
      <c r="N9" s="454"/>
      <c r="O9" s="455"/>
      <c r="P9" s="453"/>
      <c r="Q9" s="453"/>
      <c r="R9" s="456"/>
      <c r="S9" s="453"/>
      <c r="T9" s="451"/>
      <c r="U9" s="452"/>
      <c r="V9" s="453"/>
      <c r="W9" s="451"/>
      <c r="X9" s="452"/>
      <c r="Y9" s="453"/>
      <c r="Z9" s="453"/>
      <c r="AA9" s="456"/>
      <c r="AB9" s="453"/>
      <c r="AC9" s="451"/>
      <c r="AD9" s="452"/>
      <c r="AE9" s="453"/>
      <c r="AF9" s="453"/>
      <c r="AG9" s="456"/>
      <c r="AH9" s="453"/>
      <c r="AI9" s="451"/>
      <c r="AJ9" s="452"/>
      <c r="AK9" s="453"/>
      <c r="AL9" s="451"/>
      <c r="AM9" s="452"/>
      <c r="AN9" s="453"/>
      <c r="AO9" s="453"/>
      <c r="AP9" s="453"/>
      <c r="AQ9" s="453"/>
      <c r="AR9" s="457"/>
      <c r="AS9" s="457"/>
      <c r="AT9" s="457"/>
    </row>
    <row r="10" spans="1:48" s="427" customFormat="1" ht="18.75" customHeight="1" x14ac:dyDescent="0.3">
      <c r="A10" s="458" t="s">
        <v>309</v>
      </c>
      <c r="B10" s="459"/>
      <c r="C10" s="460"/>
      <c r="D10" s="461"/>
      <c r="E10" s="459"/>
      <c r="F10" s="460"/>
      <c r="G10" s="461"/>
      <c r="H10" s="459"/>
      <c r="I10" s="460"/>
      <c r="J10" s="461"/>
      <c r="K10" s="459"/>
      <c r="L10" s="460"/>
      <c r="M10" s="459"/>
      <c r="N10" s="462"/>
      <c r="O10" s="463"/>
      <c r="P10" s="461"/>
      <c r="Q10" s="461"/>
      <c r="R10" s="324"/>
      <c r="S10" s="461"/>
      <c r="T10" s="459"/>
      <c r="U10" s="460"/>
      <c r="V10" s="461"/>
      <c r="W10" s="459"/>
      <c r="X10" s="460"/>
      <c r="Y10" s="461"/>
      <c r="Z10" s="461"/>
      <c r="AA10" s="324"/>
      <c r="AB10" s="461"/>
      <c r="AC10" s="459"/>
      <c r="AD10" s="460"/>
      <c r="AE10" s="461"/>
      <c r="AF10" s="461"/>
      <c r="AG10" s="324"/>
      <c r="AH10" s="461"/>
      <c r="AI10" s="459"/>
      <c r="AJ10" s="460"/>
      <c r="AK10" s="461"/>
      <c r="AL10" s="459"/>
      <c r="AM10" s="460"/>
      <c r="AN10" s="461"/>
      <c r="AO10" s="461"/>
      <c r="AP10" s="461"/>
      <c r="AQ10" s="461"/>
      <c r="AR10" s="464"/>
      <c r="AS10" s="464"/>
      <c r="AT10" s="464"/>
    </row>
    <row r="11" spans="1:48" s="427" customFormat="1" ht="18.75" customHeight="1" x14ac:dyDescent="0.3">
      <c r="A11" s="458" t="s">
        <v>310</v>
      </c>
      <c r="B11" s="461">
        <v>1493.259</v>
      </c>
      <c r="C11" s="324">
        <v>1583.5439999999999</v>
      </c>
      <c r="D11" s="461">
        <f t="shared" ref="D11:D16" si="0">IF(B11=0, "    ---- ", IF(ABS(ROUND(100/B11*C11-100,1))&lt;999,ROUND(100/B11*C11-100,1),IF(ROUND(100/B11*C11-100,1)&gt;999,999,-999)))</f>
        <v>6</v>
      </c>
      <c r="E11" s="461">
        <v>11869</v>
      </c>
      <c r="F11" s="324">
        <v>10647.111999999999</v>
      </c>
      <c r="G11" s="461">
        <f t="shared" ref="G11:G17" si="1">IF(E11=0, "    ---- ", IF(ABS(ROUND(100/E11*F11-100,1))&lt;999,ROUND(100/E11*F11-100,1),IF(ROUND(100/E11*F11-100,1)&gt;999,999,-999)))</f>
        <v>-10.3</v>
      </c>
      <c r="H11" s="461">
        <v>699.05700000000002</v>
      </c>
      <c r="I11" s="324">
        <v>772.89099999999996</v>
      </c>
      <c r="J11" s="461">
        <f t="shared" ref="J11:J17" si="2">IF(H11=0, "    ---- ", IF(ABS(ROUND(100/H11*I11-100,1))&lt;999,ROUND(100/H11*I11-100,1),IF(ROUND(100/H11*I11-100,1)&gt;999,999,-999)))</f>
        <v>10.6</v>
      </c>
      <c r="K11" s="461">
        <v>1818.039</v>
      </c>
      <c r="L11" s="324">
        <v>2248.9830000000002</v>
      </c>
      <c r="M11" s="461">
        <f t="shared" ref="M11:M17" si="3">IF(K11=0, "    ---- ", IF(ABS(ROUND(100/K11*L11-100,1))&lt;999,ROUND(100/K11*L11-100,1),IF(ROUND(100/K11*L11-100,1)&gt;999,999,-999)))</f>
        <v>23.7</v>
      </c>
      <c r="N11" s="461">
        <v>30</v>
      </c>
      <c r="O11" s="324">
        <v>29</v>
      </c>
      <c r="P11" s="461">
        <f>IF(N11=0, "    ---- ", IF(ABS(ROUND(100/N11*O11-100,1))&lt;999,ROUND(100/N11*O11-100,1),IF(ROUND(100/N11*O11-100,1)&gt;999,999,-999)))</f>
        <v>-3.3</v>
      </c>
      <c r="Q11" s="461">
        <v>26188.369593070001</v>
      </c>
      <c r="R11" s="324">
        <v>23780.774369169998</v>
      </c>
      <c r="S11" s="461">
        <f t="shared" ref="S11:S17" si="4">IF(Q11=0, "    ---- ", IF(ABS(ROUND(100/Q11*R11-100,1))&lt;999,ROUND(100/Q11*R11-100,1),IF(ROUND(100/Q11*R11-100,1)&gt;999,999,-999)))</f>
        <v>-9.1999999999999993</v>
      </c>
      <c r="T11" s="461">
        <v>282.10000000000002</v>
      </c>
      <c r="U11" s="324">
        <v>323.60000000000002</v>
      </c>
      <c r="V11" s="461">
        <f t="shared" ref="V11:V31" si="5">IF(T11=0, "    ---- ", IF(ABS(ROUND(100/T11*U11-100,1))&lt;999,ROUND(100/T11*U11-100,1),IF(ROUND(100/T11*U11-100,1)&gt;999,999,-999)))</f>
        <v>14.7</v>
      </c>
      <c r="W11" s="461">
        <v>8197.7999999999993</v>
      </c>
      <c r="X11" s="324">
        <v>8093</v>
      </c>
      <c r="Y11" s="461">
        <f t="shared" ref="Y11:Y17" si="6">IF(W11=0, "    ---- ", IF(ABS(ROUND(100/W11*X11-100,1))&lt;999,ROUND(100/W11*X11-100,1),IF(ROUND(100/W11*X11-100,1)&gt;999,999,-999)))</f>
        <v>-1.3</v>
      </c>
      <c r="Z11" s="461">
        <v>3325</v>
      </c>
      <c r="AA11" s="324">
        <v>3154.18</v>
      </c>
      <c r="AB11" s="461">
        <f t="shared" ref="AB11:AB17" si="7">IF(Z11=0, "    ---- ", IF(ABS(ROUND(100/Z11*AA11-100,1))&lt;999,ROUND(100/Z11*AA11-100,1),IF(ROUND(100/Z11*AA11-100,1)&gt;999,999,-999)))</f>
        <v>-5.0999999999999996</v>
      </c>
      <c r="AC11" s="461">
        <v>92</v>
      </c>
      <c r="AD11" s="324">
        <v>84</v>
      </c>
      <c r="AE11" s="461">
        <f t="shared" ref="AE11:AE16" si="8">IF(AC11=0, "    ---- ", IF(ABS(ROUND(100/AC11*AD11-100,1))&lt;999,ROUND(100/AC11*AD11-100,1),IF(ROUND(100/AC11*AD11-100,1)&gt;999,999,-999)))</f>
        <v>-8.6999999999999993</v>
      </c>
      <c r="AF11" s="461"/>
      <c r="AG11" s="324"/>
      <c r="AH11" s="461"/>
      <c r="AI11" s="461">
        <v>3694.8933659199997</v>
      </c>
      <c r="AJ11" s="324">
        <v>4547.2849360200007</v>
      </c>
      <c r="AK11" s="461">
        <f t="shared" ref="AK11:AK17" si="9">IF(AI11=0, "    ---- ", IF(ABS(ROUND(100/AI11*AJ11-100,1))&lt;999,ROUND(100/AI11*AJ11-100,1),IF(ROUND(100/AI11*AJ11-100,1)&gt;999,999,-999)))</f>
        <v>23.1</v>
      </c>
      <c r="AL11" s="461">
        <v>13060</v>
      </c>
      <c r="AM11" s="324">
        <v>12609</v>
      </c>
      <c r="AN11" s="461">
        <f t="shared" ref="AN11:AN17" si="10">IF(AL11=0, "    ---- ", IF(ABS(ROUND(100/AL11*AM11-100,1))&lt;999,ROUND(100/AL11*AM11-100,1),IF(ROUND(100/AL11*AM11-100,1)&gt;999,999,-999)))</f>
        <v>-3.5</v>
      </c>
      <c r="AO11" s="461">
        <f>B11+E11+H11+K11+Q11+T11+W11+Z11+AF11+AI11+AL11</f>
        <v>70627.517958989993</v>
      </c>
      <c r="AP11" s="461">
        <f>C11+F11+I11+L11+R11+U11+X11+AA11+AG11+AJ11+AM11</f>
        <v>67760.36930518999</v>
      </c>
      <c r="AQ11" s="461">
        <f t="shared" ref="AQ11:AQ45" si="11">IF(AO11=0, "    ---- ", IF(ABS(ROUND(100/AO11*AP11-100,1))&lt;999,ROUND(100/AO11*AP11-100,1),IF(ROUND(100/AO11*AP11-100,1)&gt;999,999,-999)))</f>
        <v>-4.0999999999999996</v>
      </c>
      <c r="AR11" s="465">
        <f>+B11+E11+H11+K11+N11+Q11+T11+W11+Z11+AC11+AF11+AI11+AL11</f>
        <v>70749.517958989993</v>
      </c>
      <c r="AS11" s="461">
        <f>+C11+F11+I11+L11+O11+R11+U11+X11+AA11+AD11+AG11+AJ11+AM11</f>
        <v>67873.36930518999</v>
      </c>
      <c r="AT11" s="461">
        <f t="shared" ref="AT11:AT17" si="12">IF(AR11=0, "    ---- ", IF(ABS(ROUND(100/AR11*AS11-100,1))&lt;999,ROUND(100/AR11*AS11-100,1),IF(ROUND(100/AR11*AS11-100,1)&gt;999,999,-999)))</f>
        <v>-4.0999999999999996</v>
      </c>
    </row>
    <row r="12" spans="1:48" s="427" customFormat="1" ht="18.75" customHeight="1" x14ac:dyDescent="0.3">
      <c r="A12" s="458" t="s">
        <v>311</v>
      </c>
      <c r="B12" s="461">
        <v>-65.759</v>
      </c>
      <c r="C12" s="324">
        <v>-69.221000000000004</v>
      </c>
      <c r="D12" s="461">
        <f t="shared" si="0"/>
        <v>5.3</v>
      </c>
      <c r="E12" s="461">
        <v>-196</v>
      </c>
      <c r="F12" s="324">
        <v>-204.5</v>
      </c>
      <c r="G12" s="461">
        <f t="shared" si="1"/>
        <v>4.3</v>
      </c>
      <c r="H12" s="461">
        <v>-36.728000000000002</v>
      </c>
      <c r="I12" s="324">
        <v>-42.057000000000002</v>
      </c>
      <c r="J12" s="461">
        <f t="shared" si="2"/>
        <v>14.5</v>
      </c>
      <c r="K12" s="461">
        <v>-5.4569999999999999</v>
      </c>
      <c r="L12" s="324">
        <v>-6.8760000000000003</v>
      </c>
      <c r="M12" s="461">
        <f t="shared" si="3"/>
        <v>26</v>
      </c>
      <c r="N12" s="461"/>
      <c r="O12" s="324"/>
      <c r="P12" s="461"/>
      <c r="Q12" s="461">
        <v>-1.454731</v>
      </c>
      <c r="R12" s="324">
        <v>0</v>
      </c>
      <c r="S12" s="461">
        <f t="shared" si="4"/>
        <v>-100</v>
      </c>
      <c r="T12" s="461">
        <v>-0.3</v>
      </c>
      <c r="U12" s="324">
        <v>-0.3</v>
      </c>
      <c r="V12" s="461">
        <f t="shared" si="5"/>
        <v>0</v>
      </c>
      <c r="W12" s="461">
        <v>-74.400000000000006</v>
      </c>
      <c r="X12" s="324">
        <v>-65</v>
      </c>
      <c r="Y12" s="461">
        <f t="shared" si="6"/>
        <v>-12.6</v>
      </c>
      <c r="Z12" s="461">
        <v>-2</v>
      </c>
      <c r="AA12" s="324">
        <v>-1.3009999999999999</v>
      </c>
      <c r="AB12" s="461">
        <f t="shared" si="7"/>
        <v>-35</v>
      </c>
      <c r="AC12" s="461"/>
      <c r="AD12" s="324"/>
      <c r="AE12" s="461"/>
      <c r="AF12" s="461"/>
      <c r="AG12" s="324"/>
      <c r="AH12" s="461"/>
      <c r="AI12" s="461">
        <v>-158.83099999999999</v>
      </c>
      <c r="AJ12" s="324">
        <v>-157.22300000000001</v>
      </c>
      <c r="AK12" s="461">
        <f t="shared" si="9"/>
        <v>-1</v>
      </c>
      <c r="AL12" s="461">
        <v>-29</v>
      </c>
      <c r="AM12" s="324">
        <v>-31</v>
      </c>
      <c r="AN12" s="461">
        <f t="shared" si="10"/>
        <v>6.9</v>
      </c>
      <c r="AO12" s="461">
        <f t="shared" ref="AO12:AP45" si="13">B12+E12+H12+K12+Q12+T12+W12+Z12+AF12+AI12+AL12</f>
        <v>-569.92973100000006</v>
      </c>
      <c r="AP12" s="461">
        <f t="shared" si="13"/>
        <v>-577.47800000000007</v>
      </c>
      <c r="AQ12" s="461">
        <f t="shared" si="11"/>
        <v>1.3</v>
      </c>
      <c r="AR12" s="465">
        <f t="shared" ref="AR12:AS17" si="14">+B12+E12+H12+K12+N12+Q12+T12+W12+Z12+AC12+AF12+AI12+AL12</f>
        <v>-569.92973100000006</v>
      </c>
      <c r="AS12" s="461">
        <f t="shared" si="14"/>
        <v>-577.47800000000007</v>
      </c>
      <c r="AT12" s="461">
        <f t="shared" si="12"/>
        <v>1.3</v>
      </c>
    </row>
    <row r="13" spans="1:48" s="427" customFormat="1" ht="18.75" customHeight="1" x14ac:dyDescent="0.3">
      <c r="A13" s="458" t="s">
        <v>312</v>
      </c>
      <c r="B13" s="461">
        <v>561.95699999999999</v>
      </c>
      <c r="C13" s="324">
        <v>677.51</v>
      </c>
      <c r="D13" s="461">
        <f t="shared" si="0"/>
        <v>20.6</v>
      </c>
      <c r="E13" s="461">
        <v>1669</v>
      </c>
      <c r="F13" s="324">
        <v>3228.5039999999999</v>
      </c>
      <c r="G13" s="461">
        <f t="shared" si="1"/>
        <v>93.4</v>
      </c>
      <c r="H13" s="461">
        <v>47.32</v>
      </c>
      <c r="I13" s="324">
        <v>60.901000000000003</v>
      </c>
      <c r="J13" s="461">
        <f t="shared" si="2"/>
        <v>28.7</v>
      </c>
      <c r="K13" s="461">
        <v>816.41</v>
      </c>
      <c r="L13" s="324">
        <v>1702.7159999999999</v>
      </c>
      <c r="M13" s="461">
        <f t="shared" si="3"/>
        <v>108.6</v>
      </c>
      <c r="N13" s="461"/>
      <c r="O13" s="324"/>
      <c r="P13" s="461"/>
      <c r="Q13" s="461">
        <v>3528.565094</v>
      </c>
      <c r="R13" s="324">
        <v>208.47842800000001</v>
      </c>
      <c r="S13" s="461">
        <f t="shared" si="4"/>
        <v>-94.1</v>
      </c>
      <c r="T13" s="461">
        <v>101.9</v>
      </c>
      <c r="U13" s="324">
        <v>447</v>
      </c>
      <c r="V13" s="461">
        <f t="shared" si="5"/>
        <v>338.7</v>
      </c>
      <c r="W13" s="461">
        <v>763</v>
      </c>
      <c r="X13" s="324">
        <v>895</v>
      </c>
      <c r="Y13" s="461">
        <f t="shared" si="6"/>
        <v>17.3</v>
      </c>
      <c r="Z13" s="461">
        <v>0</v>
      </c>
      <c r="AA13" s="324"/>
      <c r="AB13" s="461"/>
      <c r="AC13" s="461">
        <v>66</v>
      </c>
      <c r="AD13" s="324">
        <v>83</v>
      </c>
      <c r="AE13" s="461">
        <f t="shared" si="8"/>
        <v>25.8</v>
      </c>
      <c r="AF13" s="461">
        <v>-0.69540974</v>
      </c>
      <c r="AG13" s="324"/>
      <c r="AH13" s="461">
        <f t="shared" ref="AH13:AH45" si="15">IF(AF13=0, "    ---- ", IF(ABS(ROUND(100/AF13*AG13-100,1))&lt;999,ROUND(100/AF13*AG13-100,1),IF(ROUND(100/AF13*AG13-100,1)&gt;999,999,-999)))</f>
        <v>-100</v>
      </c>
      <c r="AI13" s="461">
        <v>1189.18904344</v>
      </c>
      <c r="AJ13" s="324">
        <v>1406.9079394800001</v>
      </c>
      <c r="AK13" s="461">
        <f t="shared" si="9"/>
        <v>18.3</v>
      </c>
      <c r="AL13" s="461">
        <v>552</v>
      </c>
      <c r="AM13" s="324">
        <v>920</v>
      </c>
      <c r="AN13" s="461">
        <f t="shared" si="10"/>
        <v>66.7</v>
      </c>
      <c r="AO13" s="461">
        <f t="shared" si="13"/>
        <v>9228.645727699999</v>
      </c>
      <c r="AP13" s="461">
        <f t="shared" si="13"/>
        <v>9547.0173674799989</v>
      </c>
      <c r="AQ13" s="461">
        <f t="shared" si="11"/>
        <v>3.4</v>
      </c>
      <c r="AR13" s="465">
        <f t="shared" si="14"/>
        <v>9294.645727699999</v>
      </c>
      <c r="AS13" s="461">
        <f t="shared" si="14"/>
        <v>9630.0173674799989</v>
      </c>
      <c r="AT13" s="461">
        <f t="shared" si="12"/>
        <v>3.6</v>
      </c>
    </row>
    <row r="14" spans="1:48" s="427" customFormat="1" ht="18.75" customHeight="1" x14ac:dyDescent="0.3">
      <c r="A14" s="458" t="s">
        <v>313</v>
      </c>
      <c r="B14" s="466">
        <v>1989.4569999999999</v>
      </c>
      <c r="C14" s="467">
        <f>SUM(C11:C13)</f>
        <v>2191.8329999999996</v>
      </c>
      <c r="D14" s="461">
        <f t="shared" si="0"/>
        <v>10.199999999999999</v>
      </c>
      <c r="E14" s="459">
        <v>13342</v>
      </c>
      <c r="F14" s="460">
        <f>SUM(F11:F13)</f>
        <v>13671.115999999998</v>
      </c>
      <c r="G14" s="461">
        <f t="shared" si="1"/>
        <v>2.5</v>
      </c>
      <c r="H14" s="459">
        <v>709.64900000000011</v>
      </c>
      <c r="I14" s="460">
        <f>SUM(I11:I13)</f>
        <v>791.7349999999999</v>
      </c>
      <c r="J14" s="461">
        <f t="shared" si="2"/>
        <v>11.6</v>
      </c>
      <c r="K14" s="459">
        <v>2628.9919999999997</v>
      </c>
      <c r="L14" s="460">
        <f>SUM(L11:L13)</f>
        <v>3944.8229999999999</v>
      </c>
      <c r="M14" s="461">
        <f t="shared" si="3"/>
        <v>50.1</v>
      </c>
      <c r="N14" s="459">
        <v>30</v>
      </c>
      <c r="O14" s="460">
        <f>SUM(O11:O13)</f>
        <v>29</v>
      </c>
      <c r="P14" s="461">
        <f>IF(N14=0, "    ---- ", IF(ABS(ROUND(100/N14*O14-100,1))&lt;999,ROUND(100/N14*O14-100,1),IF(ROUND(100/N14*O14-100,1)&gt;999,999,-999)))</f>
        <v>-3.3</v>
      </c>
      <c r="Q14" s="459">
        <v>29715.479956070001</v>
      </c>
      <c r="R14" s="460">
        <f>SUM(R11:R13)</f>
        <v>23989.252797169996</v>
      </c>
      <c r="S14" s="461">
        <f t="shared" si="4"/>
        <v>-19.3</v>
      </c>
      <c r="T14" s="459">
        <v>383.70000000000005</v>
      </c>
      <c r="U14" s="460">
        <f>SUM(U11:U13)</f>
        <v>770.3</v>
      </c>
      <c r="V14" s="461">
        <f t="shared" si="5"/>
        <v>100.8</v>
      </c>
      <c r="W14" s="459">
        <v>8886.4</v>
      </c>
      <c r="X14" s="460">
        <f>SUM(X11:X13)</f>
        <v>8923</v>
      </c>
      <c r="Y14" s="461">
        <f t="shared" si="6"/>
        <v>0.4</v>
      </c>
      <c r="Z14" s="459">
        <v>3323</v>
      </c>
      <c r="AA14" s="460">
        <f>SUM(AA11:AA13)</f>
        <v>3152.8789999999999</v>
      </c>
      <c r="AB14" s="461">
        <f t="shared" si="7"/>
        <v>-5.0999999999999996</v>
      </c>
      <c r="AC14" s="459">
        <v>158</v>
      </c>
      <c r="AD14" s="460">
        <f>SUM(AD11:AD13)</f>
        <v>167</v>
      </c>
      <c r="AE14" s="461">
        <f t="shared" si="8"/>
        <v>5.7</v>
      </c>
      <c r="AF14" s="459">
        <v>-0.69540974</v>
      </c>
      <c r="AG14" s="460">
        <f>SUM(AG11:AG13)</f>
        <v>0</v>
      </c>
      <c r="AH14" s="461">
        <f t="shared" si="15"/>
        <v>-100</v>
      </c>
      <c r="AI14" s="459">
        <v>4725.2514093599993</v>
      </c>
      <c r="AJ14" s="460">
        <f>SUM(AJ11:AJ13)</f>
        <v>5796.9698755000009</v>
      </c>
      <c r="AK14" s="461">
        <f t="shared" si="9"/>
        <v>22.7</v>
      </c>
      <c r="AL14" s="459">
        <v>13583</v>
      </c>
      <c r="AM14" s="460">
        <f>SUM(AM11:AM13)</f>
        <v>13498</v>
      </c>
      <c r="AN14" s="461">
        <f t="shared" si="10"/>
        <v>-0.6</v>
      </c>
      <c r="AO14" s="461">
        <f t="shared" si="13"/>
        <v>79286.233955689997</v>
      </c>
      <c r="AP14" s="461">
        <f t="shared" si="13"/>
        <v>76729.90867266999</v>
      </c>
      <c r="AQ14" s="461">
        <f t="shared" si="11"/>
        <v>-3.2</v>
      </c>
      <c r="AR14" s="465">
        <f>+B14+E14+H14+K14+N14+Q14+T14+W14+Z14+AC14+AF14+AI14+AL14</f>
        <v>79474.233955689997</v>
      </c>
      <c r="AS14" s="461">
        <f t="shared" si="14"/>
        <v>76925.90867266999</v>
      </c>
      <c r="AT14" s="461">
        <f t="shared" si="12"/>
        <v>-3.2</v>
      </c>
      <c r="AV14" s="468"/>
    </row>
    <row r="15" spans="1:48" s="427" customFormat="1" ht="18.75" customHeight="1" x14ac:dyDescent="0.3">
      <c r="A15" s="458" t="s">
        <v>314</v>
      </c>
      <c r="B15" s="469">
        <v>30.433</v>
      </c>
      <c r="C15" s="470">
        <v>25.76</v>
      </c>
      <c r="D15" s="461">
        <f t="shared" si="0"/>
        <v>-15.4</v>
      </c>
      <c r="E15" s="469">
        <v>6757</v>
      </c>
      <c r="F15" s="470">
        <v>7876.1589999999997</v>
      </c>
      <c r="G15" s="461">
        <f t="shared" si="1"/>
        <v>16.600000000000001</v>
      </c>
      <c r="H15" s="471">
        <v>22.460999999999999</v>
      </c>
      <c r="I15" s="472">
        <v>32.438000000000002</v>
      </c>
      <c r="J15" s="461">
        <f t="shared" si="2"/>
        <v>44.4</v>
      </c>
      <c r="K15" s="469">
        <v>184.04199600000001</v>
      </c>
      <c r="L15" s="470">
        <v>185.90700000000001</v>
      </c>
      <c r="M15" s="461">
        <f t="shared" si="3"/>
        <v>1</v>
      </c>
      <c r="N15" s="473"/>
      <c r="O15" s="474"/>
      <c r="P15" s="461"/>
      <c r="Q15" s="469">
        <v>18472.937244590001</v>
      </c>
      <c r="R15" s="470">
        <v>20759.768952570001</v>
      </c>
      <c r="S15" s="461">
        <f t="shared" si="4"/>
        <v>12.4</v>
      </c>
      <c r="T15" s="469">
        <v>64.900000000000006</v>
      </c>
      <c r="U15" s="470">
        <v>58.1</v>
      </c>
      <c r="V15" s="461">
        <f t="shared" si="5"/>
        <v>-10.5</v>
      </c>
      <c r="W15" s="469">
        <v>1705</v>
      </c>
      <c r="X15" s="470">
        <v>1887</v>
      </c>
      <c r="Y15" s="461">
        <f t="shared" si="6"/>
        <v>10.7</v>
      </c>
      <c r="Z15" s="469">
        <v>2635</v>
      </c>
      <c r="AA15" s="470">
        <v>5044.1970000000001</v>
      </c>
      <c r="AB15" s="461">
        <f t="shared" si="7"/>
        <v>91.4</v>
      </c>
      <c r="AC15" s="473"/>
      <c r="AD15" s="474"/>
      <c r="AE15" s="461"/>
      <c r="AF15" s="469">
        <v>249.70344618000001</v>
      </c>
      <c r="AG15" s="470"/>
      <c r="AH15" s="461">
        <f t="shared" si="15"/>
        <v>-100</v>
      </c>
      <c r="AI15" s="475">
        <v>712.18285462999972</v>
      </c>
      <c r="AJ15" s="476">
        <v>984.55748987999971</v>
      </c>
      <c r="AK15" s="461">
        <f t="shared" si="9"/>
        <v>38.200000000000003</v>
      </c>
      <c r="AL15" s="469">
        <v>7671</v>
      </c>
      <c r="AM15" s="470">
        <v>7406</v>
      </c>
      <c r="AN15" s="461">
        <f t="shared" si="10"/>
        <v>-3.5</v>
      </c>
      <c r="AO15" s="461">
        <f t="shared" si="13"/>
        <v>38504.659541400004</v>
      </c>
      <c r="AP15" s="461">
        <f t="shared" si="13"/>
        <v>44259.887442449995</v>
      </c>
      <c r="AQ15" s="461">
        <f t="shared" si="11"/>
        <v>14.9</v>
      </c>
      <c r="AR15" s="465">
        <f t="shared" si="14"/>
        <v>38504.659541400004</v>
      </c>
      <c r="AS15" s="461">
        <f t="shared" si="14"/>
        <v>44259.887442449995</v>
      </c>
      <c r="AT15" s="461">
        <f t="shared" si="12"/>
        <v>14.9</v>
      </c>
    </row>
    <row r="16" spans="1:48" s="427" customFormat="1" ht="18.75" customHeight="1" x14ac:dyDescent="0.3">
      <c r="A16" s="458" t="s">
        <v>315</v>
      </c>
      <c r="B16" s="469">
        <v>-97.941000000000003</v>
      </c>
      <c r="C16" s="470">
        <v>991.27599999999995</v>
      </c>
      <c r="D16" s="461">
        <f t="shared" si="0"/>
        <v>-999</v>
      </c>
      <c r="E16" s="469">
        <v>1827</v>
      </c>
      <c r="F16" s="470">
        <v>4148.7669999999998</v>
      </c>
      <c r="G16" s="461">
        <f t="shared" si="1"/>
        <v>127.1</v>
      </c>
      <c r="H16" s="471">
        <v>-34.427</v>
      </c>
      <c r="I16" s="472">
        <v>147.30000000000001</v>
      </c>
      <c r="J16" s="461">
        <f t="shared" si="2"/>
        <v>-527.9</v>
      </c>
      <c r="K16" s="469">
        <v>195.351</v>
      </c>
      <c r="L16" s="470">
        <v>1323.58</v>
      </c>
      <c r="M16" s="459">
        <f t="shared" si="3"/>
        <v>577.5</v>
      </c>
      <c r="N16" s="473"/>
      <c r="O16" s="474"/>
      <c r="P16" s="477"/>
      <c r="Q16" s="469">
        <v>90.262143299999991</v>
      </c>
      <c r="R16" s="470">
        <v>109.77122986000001</v>
      </c>
      <c r="S16" s="477">
        <f t="shared" si="4"/>
        <v>21.6</v>
      </c>
      <c r="T16" s="469">
        <v>60.6</v>
      </c>
      <c r="U16" s="470">
        <v>164.9</v>
      </c>
      <c r="V16" s="477">
        <f t="shared" si="5"/>
        <v>172.1</v>
      </c>
      <c r="W16" s="469">
        <v>1037</v>
      </c>
      <c r="X16" s="470">
        <v>3662</v>
      </c>
      <c r="Y16" s="461">
        <f t="shared" si="6"/>
        <v>253.1</v>
      </c>
      <c r="Z16" s="469"/>
      <c r="AA16" s="470"/>
      <c r="AB16" s="461"/>
      <c r="AC16" s="473">
        <v>-38</v>
      </c>
      <c r="AD16" s="474">
        <v>182</v>
      </c>
      <c r="AE16" s="461">
        <f t="shared" si="8"/>
        <v>-578.9</v>
      </c>
      <c r="AF16" s="469">
        <v>-5.3731249700000001</v>
      </c>
      <c r="AG16" s="470"/>
      <c r="AH16" s="461">
        <f t="shared" si="15"/>
        <v>-100</v>
      </c>
      <c r="AI16" s="475">
        <v>390.59506736000009</v>
      </c>
      <c r="AJ16" s="476">
        <v>1903.9951123899998</v>
      </c>
      <c r="AK16" s="461">
        <f t="shared" si="9"/>
        <v>387.5</v>
      </c>
      <c r="AL16" s="469">
        <v>1680</v>
      </c>
      <c r="AM16" s="470">
        <v>5627</v>
      </c>
      <c r="AN16" s="461">
        <f t="shared" si="10"/>
        <v>234.9</v>
      </c>
      <c r="AO16" s="461">
        <f t="shared" si="13"/>
        <v>5143.0670856899997</v>
      </c>
      <c r="AP16" s="461">
        <f t="shared" si="13"/>
        <v>18078.589342249998</v>
      </c>
      <c r="AQ16" s="461">
        <f t="shared" si="11"/>
        <v>251.5</v>
      </c>
      <c r="AR16" s="465">
        <f t="shared" si="14"/>
        <v>5105.0670856899997</v>
      </c>
      <c r="AS16" s="461">
        <f t="shared" si="14"/>
        <v>18260.589342249998</v>
      </c>
      <c r="AT16" s="461">
        <f t="shared" si="12"/>
        <v>257.7</v>
      </c>
    </row>
    <row r="17" spans="1:48" s="427" customFormat="1" ht="18.75" customHeight="1" x14ac:dyDescent="0.3">
      <c r="A17" s="458" t="s">
        <v>316</v>
      </c>
      <c r="B17" s="469"/>
      <c r="C17" s="470"/>
      <c r="D17" s="461"/>
      <c r="E17" s="469">
        <v>8</v>
      </c>
      <c r="F17" s="470">
        <v>28.38</v>
      </c>
      <c r="G17" s="461">
        <f t="shared" si="1"/>
        <v>254.8</v>
      </c>
      <c r="H17" s="471">
        <v>7.5510000000000002</v>
      </c>
      <c r="I17" s="472">
        <v>8.2609999999999992</v>
      </c>
      <c r="J17" s="461">
        <f t="shared" si="2"/>
        <v>9.4</v>
      </c>
      <c r="K17" s="465">
        <v>61.55</v>
      </c>
      <c r="L17" s="470">
        <v>90.632000000000005</v>
      </c>
      <c r="M17" s="459">
        <f t="shared" si="3"/>
        <v>47.2</v>
      </c>
      <c r="N17" s="473"/>
      <c r="O17" s="474"/>
      <c r="P17" s="461"/>
      <c r="Q17" s="469">
        <v>693.67339470000002</v>
      </c>
      <c r="R17" s="470">
        <v>732.22449600000004</v>
      </c>
      <c r="S17" s="461">
        <f t="shared" si="4"/>
        <v>5.6</v>
      </c>
      <c r="T17" s="469">
        <v>2.2999999999999998</v>
      </c>
      <c r="U17" s="470">
        <v>1.7</v>
      </c>
      <c r="V17" s="461">
        <f t="shared" si="5"/>
        <v>-26.1</v>
      </c>
      <c r="W17" s="469">
        <v>99</v>
      </c>
      <c r="X17" s="470">
        <v>121</v>
      </c>
      <c r="Y17" s="461">
        <f t="shared" si="6"/>
        <v>22.2</v>
      </c>
      <c r="Z17" s="469">
        <v>135</v>
      </c>
      <c r="AA17" s="470">
        <v>145.81</v>
      </c>
      <c r="AB17" s="461">
        <f t="shared" si="7"/>
        <v>8</v>
      </c>
      <c r="AC17" s="473"/>
      <c r="AD17" s="474"/>
      <c r="AE17" s="461"/>
      <c r="AF17" s="469">
        <v>0</v>
      </c>
      <c r="AG17" s="470"/>
      <c r="AH17" s="461"/>
      <c r="AI17" s="475">
        <v>88.105340060000017</v>
      </c>
      <c r="AJ17" s="476">
        <v>86.520224220000031</v>
      </c>
      <c r="AK17" s="461">
        <f t="shared" si="9"/>
        <v>-1.8</v>
      </c>
      <c r="AL17" s="469">
        <v>334</v>
      </c>
      <c r="AM17" s="470">
        <v>400</v>
      </c>
      <c r="AN17" s="461">
        <f t="shared" si="10"/>
        <v>19.8</v>
      </c>
      <c r="AO17" s="461">
        <f t="shared" si="13"/>
        <v>1429.17973476</v>
      </c>
      <c r="AP17" s="461">
        <f t="shared" si="13"/>
        <v>1614.5277202200002</v>
      </c>
      <c r="AQ17" s="461">
        <f t="shared" si="11"/>
        <v>13</v>
      </c>
      <c r="AR17" s="465">
        <f t="shared" si="14"/>
        <v>1429.17973476</v>
      </c>
      <c r="AS17" s="461">
        <f t="shared" si="14"/>
        <v>1614.5277202200002</v>
      </c>
      <c r="AT17" s="461">
        <f t="shared" si="12"/>
        <v>13</v>
      </c>
    </row>
    <row r="18" spans="1:48" s="427" customFormat="1" ht="18.75" customHeight="1" x14ac:dyDescent="0.3">
      <c r="A18" s="458" t="s">
        <v>317</v>
      </c>
      <c r="B18" s="469"/>
      <c r="C18" s="470"/>
      <c r="D18" s="461"/>
      <c r="E18" s="469"/>
      <c r="F18" s="470"/>
      <c r="G18" s="461"/>
      <c r="H18" s="471"/>
      <c r="I18" s="472"/>
      <c r="J18" s="461"/>
      <c r="K18" s="469"/>
      <c r="L18" s="470"/>
      <c r="M18" s="459"/>
      <c r="N18" s="473"/>
      <c r="O18" s="474"/>
      <c r="P18" s="461"/>
      <c r="Q18" s="469"/>
      <c r="R18" s="470"/>
      <c r="S18" s="461"/>
      <c r="T18" s="469"/>
      <c r="U18" s="470"/>
      <c r="V18" s="461"/>
      <c r="W18" s="478"/>
      <c r="X18" s="479"/>
      <c r="Y18" s="461"/>
      <c r="Z18" s="469"/>
      <c r="AA18" s="470"/>
      <c r="AB18" s="461"/>
      <c r="AC18" s="473"/>
      <c r="AD18" s="474"/>
      <c r="AE18" s="461"/>
      <c r="AF18" s="469"/>
      <c r="AG18" s="470"/>
      <c r="AH18" s="461"/>
      <c r="AI18" s="475"/>
      <c r="AJ18" s="476"/>
      <c r="AK18" s="461"/>
      <c r="AL18" s="469"/>
      <c r="AM18" s="470"/>
      <c r="AN18" s="461"/>
      <c r="AO18" s="461"/>
      <c r="AP18" s="461"/>
      <c r="AQ18" s="461"/>
      <c r="AR18" s="480"/>
      <c r="AS18" s="464"/>
      <c r="AT18" s="464"/>
    </row>
    <row r="19" spans="1:48" s="427" customFormat="1" ht="18.75" customHeight="1" x14ac:dyDescent="0.3">
      <c r="A19" s="458" t="s">
        <v>318</v>
      </c>
      <c r="B19" s="459">
        <v>-334.351</v>
      </c>
      <c r="C19" s="460">
        <v>-382.351</v>
      </c>
      <c r="D19" s="461">
        <f>IF(B19=0, "    ---- ", IF(ABS(ROUND(100/B19*C19-100,1))&lt;999,ROUND(100/B19*C19-100,1),IF(ROUND(100/B19*C19-100,1)&gt;999,999,-999)))</f>
        <v>14.4</v>
      </c>
      <c r="E19" s="459">
        <v>-10235</v>
      </c>
      <c r="F19" s="460">
        <v>-10870.892</v>
      </c>
      <c r="G19" s="461">
        <f>IF(E19=0, "    ---- ", IF(ABS(ROUND(100/E19*F19-100,1))&lt;999,ROUND(100/E19*F19-100,1),IF(ROUND(100/E19*F19-100,1)&gt;999,999,-999)))</f>
        <v>6.2</v>
      </c>
      <c r="H19" s="459">
        <v>-53.835999999999999</v>
      </c>
      <c r="I19" s="460">
        <v>-51.575000000000003</v>
      </c>
      <c r="J19" s="461">
        <f>IF(H19=0, "    ---- ", IF(ABS(ROUND(100/H19*I19-100,1))&lt;999,ROUND(100/H19*I19-100,1),IF(ROUND(100/H19*I19-100,1)&gt;999,999,-999)))</f>
        <v>-4.2</v>
      </c>
      <c r="K19" s="459">
        <v>-315.56299999999999</v>
      </c>
      <c r="L19" s="460">
        <v>-309.31099999999998</v>
      </c>
      <c r="M19" s="461">
        <f>IF(K19=0, "    ---- ", IF(ABS(ROUND(100/K19*L19-100,1))&lt;999,ROUND(100/K19*L19-100,1),IF(ROUND(100/K19*L19-100,1)&gt;999,999,-999)))</f>
        <v>-2</v>
      </c>
      <c r="N19" s="459">
        <v>-23</v>
      </c>
      <c r="O19" s="460">
        <v>-16</v>
      </c>
      <c r="P19" s="461">
        <f>IF(N19=0, "    ---- ", IF(ABS(ROUND(100/N19*O19-100,1))&lt;999,ROUND(100/N19*O19-100,1),IF(ROUND(100/N19*O19-100,1)&gt;999,999,-999)))</f>
        <v>-30.4</v>
      </c>
      <c r="Q19" s="459">
        <v>-12075.576435999999</v>
      </c>
      <c r="R19" s="460">
        <v>-12833.100612</v>
      </c>
      <c r="S19" s="461">
        <f>IF(Q19=0, "    ---- ", IF(ABS(ROUND(100/Q19*R19-100,1))&lt;999,ROUND(100/Q19*R19-100,1),IF(ROUND(100/Q19*R19-100,1)&gt;999,999,-999)))</f>
        <v>6.3</v>
      </c>
      <c r="T19" s="459">
        <v>-47.4</v>
      </c>
      <c r="U19" s="460">
        <v>-55.2</v>
      </c>
      <c r="V19" s="461">
        <f t="shared" si="5"/>
        <v>16.5</v>
      </c>
      <c r="W19" s="459">
        <v>-3114</v>
      </c>
      <c r="X19" s="460">
        <v>-3301</v>
      </c>
      <c r="Y19" s="461">
        <f>IF(W19=0, "    ---- ", IF(ABS(ROUND(100/W19*X19-100,1))&lt;999,ROUND(100/W19*X19-100,1),IF(ROUND(100/W19*X19-100,1)&gt;999,999,-999)))</f>
        <v>6</v>
      </c>
      <c r="Z19" s="459">
        <v>-1949</v>
      </c>
      <c r="AA19" s="460">
        <v>-1992.2270000000001</v>
      </c>
      <c r="AB19" s="461">
        <f>IF(Z19=0, "    ---- ", IF(ABS(ROUND(100/Z19*AA19-100,1))&lt;999,ROUND(100/Z19*AA19-100,1),IF(ROUND(100/Z19*AA19-100,1)&gt;999,999,-999)))</f>
        <v>2.2000000000000002</v>
      </c>
      <c r="AC19" s="459">
        <v>-106</v>
      </c>
      <c r="AD19" s="460">
        <v>-136</v>
      </c>
      <c r="AE19" s="461">
        <f>IF(AC19=0, "    ---- ", IF(ABS(ROUND(100/AC19*AD19-100,1))&lt;999,ROUND(100/AC19*AD19-100,1),IF(ROUND(100/AC19*AD19-100,1)&gt;999,999,-999)))</f>
        <v>28.3</v>
      </c>
      <c r="AF19" s="459">
        <v>-146.25837543</v>
      </c>
      <c r="AG19" s="460"/>
      <c r="AH19" s="461">
        <f t="shared" si="15"/>
        <v>-100</v>
      </c>
      <c r="AI19" s="481">
        <v>-1500.4831143600002</v>
      </c>
      <c r="AJ19" s="482">
        <v>-1609.2197332800001</v>
      </c>
      <c r="AK19" s="461">
        <f>IF(AI19=0, "    ---- ", IF(ABS(ROUND(100/AI19*AJ19-100,1))&lt;999,ROUND(100/AI19*AJ19-100,1),IF(ROUND(100/AI19*AJ19-100,1)&gt;999,999,-999)))</f>
        <v>7.2</v>
      </c>
      <c r="AL19" s="459">
        <v>-7475</v>
      </c>
      <c r="AM19" s="460">
        <v>-7659</v>
      </c>
      <c r="AN19" s="461">
        <f>IF(AL19=0, "    ---- ", IF(ABS(ROUND(100/AL19*AM19-100,1))&lt;999,ROUND(100/AL19*AM19-100,1),IF(ROUND(100/AL19*AM19-100,1)&gt;999,999,-999)))</f>
        <v>2.5</v>
      </c>
      <c r="AO19" s="461">
        <f t="shared" si="13"/>
        <v>-37246.467925789999</v>
      </c>
      <c r="AP19" s="461">
        <f t="shared" si="13"/>
        <v>-39063.876345280005</v>
      </c>
      <c r="AQ19" s="461">
        <f t="shared" si="11"/>
        <v>4.9000000000000004</v>
      </c>
      <c r="AR19" s="465">
        <f t="shared" ref="AR19:AS21" si="16">+B19+E19+H19+K19+N19+Q19+T19+W19+Z19+AC19+AF19+AI19+AL19</f>
        <v>-37375.467925789999</v>
      </c>
      <c r="AS19" s="461">
        <f t="shared" si="16"/>
        <v>-39215.876345280005</v>
      </c>
      <c r="AT19" s="461">
        <f>IF(AR19=0, "    ---- ", IF(ABS(ROUND(100/AR19*AS19-100,1))&lt;999,ROUND(100/AR19*AS19-100,1),IF(ROUND(100/AR19*AS19-100,1)&gt;999,999,-999)))</f>
        <v>4.9000000000000004</v>
      </c>
    </row>
    <row r="20" spans="1:48" s="427" customFormat="1" ht="18.75" customHeight="1" x14ac:dyDescent="0.3">
      <c r="A20" s="458" t="s">
        <v>390</v>
      </c>
      <c r="B20" s="461">
        <v>-523.21299999999997</v>
      </c>
      <c r="C20" s="324">
        <v>-462.31299999999999</v>
      </c>
      <c r="D20" s="461">
        <f>IF(B20=0, "    ---- ", IF(ABS(ROUND(100/B20*C20-100,1))&lt;999,ROUND(100/B20*C20-100,1),IF(ROUND(100/B20*C20-100,1)&gt;999,999,-999)))</f>
        <v>-11.6</v>
      </c>
      <c r="E20" s="461">
        <v>-1117</v>
      </c>
      <c r="F20" s="324">
        <v>-1488.8219999999999</v>
      </c>
      <c r="G20" s="461">
        <f>IF(E20=0, "    ---- ", IF(ABS(ROUND(100/E20*F20-100,1))&lt;999,ROUND(100/E20*F20-100,1),IF(ROUND(100/E20*F20-100,1)&gt;999,999,-999)))</f>
        <v>33.299999999999997</v>
      </c>
      <c r="H20" s="461">
        <v>-76.361999999999995</v>
      </c>
      <c r="I20" s="324">
        <v>-109.038</v>
      </c>
      <c r="J20" s="461">
        <f>IF(H20=0, "    ---- ", IF(ABS(ROUND(100/H20*I20-100,1))&lt;999,ROUND(100/H20*I20-100,1),IF(ROUND(100/H20*I20-100,1)&gt;999,999,-999)))</f>
        <v>42.8</v>
      </c>
      <c r="K20" s="461">
        <v>-462.83800000000002</v>
      </c>
      <c r="L20" s="324">
        <v>-907.58799999999997</v>
      </c>
      <c r="M20" s="461">
        <f>IF(K20=0, "    ---- ", IF(ABS(ROUND(100/K20*L20-100,1))&lt;999,ROUND(100/K20*L20-100,1),IF(ROUND(100/K20*L20-100,1)&gt;999,999,-999)))</f>
        <v>96.1</v>
      </c>
      <c r="N20" s="461"/>
      <c r="O20" s="324"/>
      <c r="P20" s="461"/>
      <c r="Q20" s="461">
        <v>-123.887451</v>
      </c>
      <c r="R20" s="324">
        <v>-211.31746699999999</v>
      </c>
      <c r="S20" s="461">
        <f>IF(Q20=0, "    ---- ", IF(ABS(ROUND(100/Q20*R20-100,1))&lt;999,ROUND(100/Q20*R20-100,1),IF(ROUND(100/Q20*R20-100,1)&gt;999,999,-999)))</f>
        <v>70.599999999999994</v>
      </c>
      <c r="T20" s="461">
        <v>-42.9</v>
      </c>
      <c r="U20" s="324">
        <v>-111.7</v>
      </c>
      <c r="V20" s="461">
        <f t="shared" si="5"/>
        <v>160.4</v>
      </c>
      <c r="W20" s="483">
        <v>-1452</v>
      </c>
      <c r="X20" s="484">
        <v>-1953.18139722</v>
      </c>
      <c r="Y20" s="461">
        <f>IF(W20=0, "    ---- ", IF(ABS(ROUND(100/W20*X20-100,1))&lt;999,ROUND(100/W20*X20-100,1),IF(ROUND(100/W20*X20-100,1)&gt;999,999,-999)))</f>
        <v>34.5</v>
      </c>
      <c r="Z20" s="483"/>
      <c r="AA20" s="484"/>
      <c r="AB20" s="461"/>
      <c r="AC20" s="461">
        <v>-4</v>
      </c>
      <c r="AD20" s="324">
        <v>-20</v>
      </c>
      <c r="AE20" s="461">
        <f>IF(AC20=0, "    ---- ", IF(ABS(ROUND(100/AC20*AD20-100,1))&lt;999,ROUND(100/AC20*AD20-100,1),IF(ROUND(100/AC20*AD20-100,1)&gt;999,999,-999)))</f>
        <v>400</v>
      </c>
      <c r="AF20" s="461">
        <v>-110.22992384999999</v>
      </c>
      <c r="AG20" s="324"/>
      <c r="AH20" s="461">
        <f t="shared" si="15"/>
        <v>-100</v>
      </c>
      <c r="AI20" s="483">
        <v>-269.23535251999999</v>
      </c>
      <c r="AJ20" s="484">
        <v>-596.87955716000022</v>
      </c>
      <c r="AK20" s="461">
        <f>IF(AI20=0, "    ---- ", IF(ABS(ROUND(100/AI20*AJ20-100,1))&lt;999,ROUND(100/AI20*AJ20-100,1),IF(ROUND(100/AI20*AJ20-100,1)&gt;999,999,-999)))</f>
        <v>121.7</v>
      </c>
      <c r="AL20" s="461">
        <v>-3253</v>
      </c>
      <c r="AM20" s="324">
        <v>-3404</v>
      </c>
      <c r="AN20" s="461">
        <f>IF(AL20=0, "    ---- ", IF(ABS(ROUND(100/AL20*AM20-100,1))&lt;999,ROUND(100/AL20*AM20-100,1),IF(ROUND(100/AL20*AM20-100,1)&gt;999,999,-999)))</f>
        <v>4.5999999999999996</v>
      </c>
      <c r="AO20" s="461">
        <f t="shared" si="13"/>
        <v>-7430.6657273700002</v>
      </c>
      <c r="AP20" s="461">
        <f t="shared" si="13"/>
        <v>-9244.8394213799984</v>
      </c>
      <c r="AQ20" s="461">
        <f t="shared" si="11"/>
        <v>24.4</v>
      </c>
      <c r="AR20" s="465">
        <f t="shared" si="16"/>
        <v>-7434.6657273700002</v>
      </c>
      <c r="AS20" s="461">
        <f t="shared" si="16"/>
        <v>-9264.8394213799984</v>
      </c>
      <c r="AT20" s="461">
        <f>IF(AR20=0, "    ---- ", IF(ABS(ROUND(100/AR20*AS20-100,1))&lt;999,ROUND(100/AR20*AS20-100,1),IF(ROUND(100/AR20*AS20-100,1)&gt;999,999,-999)))</f>
        <v>24.6</v>
      </c>
    </row>
    <row r="21" spans="1:48" s="427" customFormat="1" ht="18.75" customHeight="1" x14ac:dyDescent="0.3">
      <c r="A21" s="458" t="s">
        <v>319</v>
      </c>
      <c r="B21" s="466">
        <v>-857.56399999999996</v>
      </c>
      <c r="C21" s="460">
        <f>SUM(C19:C20)</f>
        <v>-844.66399999999999</v>
      </c>
      <c r="D21" s="461">
        <f>IF(B21=0, "    ---- ", IF(ABS(ROUND(100/B21*C21-100,1))&lt;999,ROUND(100/B21*C21-100,1),IF(ROUND(100/B21*C21-100,1)&gt;999,999,-999)))</f>
        <v>-1.5</v>
      </c>
      <c r="E21" s="459">
        <v>-11352</v>
      </c>
      <c r="F21" s="460">
        <f>SUM(F19:F20)</f>
        <v>-12359.714</v>
      </c>
      <c r="G21" s="461">
        <f>IF(E21=0, "    ---- ", IF(ABS(ROUND(100/E21*F21-100,1))&lt;999,ROUND(100/E21*F21-100,1),IF(ROUND(100/E21*F21-100,1)&gt;999,999,-999)))</f>
        <v>8.9</v>
      </c>
      <c r="H21" s="460">
        <v>-130.19799999999998</v>
      </c>
      <c r="I21" s="460">
        <f>SUM(I19:I20)</f>
        <v>-160.613</v>
      </c>
      <c r="J21" s="461">
        <f>IF(H21=0, "    ---- ", IF(ABS(ROUND(100/H21*I21-100,1))&lt;999,ROUND(100/H21*I21-100,1),IF(ROUND(100/H21*I21-100,1)&gt;999,999,-999)))</f>
        <v>23.4</v>
      </c>
      <c r="K21" s="460">
        <v>-778.40100000000007</v>
      </c>
      <c r="L21" s="460">
        <f>SUM(L19:L20)</f>
        <v>-1216.8989999999999</v>
      </c>
      <c r="M21" s="461">
        <f>IF(K21=0, "    ---- ", IF(ABS(ROUND(100/K21*L21-100,1))&lt;999,ROUND(100/K21*L21-100,1),IF(ROUND(100/K21*L21-100,1)&gt;999,999,-999)))</f>
        <v>56.3</v>
      </c>
      <c r="N21" s="460">
        <v>-23</v>
      </c>
      <c r="O21" s="460">
        <f>SUM(O19:O20)</f>
        <v>-16</v>
      </c>
      <c r="P21" s="461">
        <f>IF(N21=0, "    ---- ", IF(ABS(ROUND(100/N21*O21-100,1))&lt;999,ROUND(100/N21*O21-100,1),IF(ROUND(100/N21*O21-100,1)&gt;999,999,-999)))</f>
        <v>-30.4</v>
      </c>
      <c r="Q21" s="460">
        <v>-12199.463887</v>
      </c>
      <c r="R21" s="460">
        <f>SUM(R19:R20)</f>
        <v>-13044.418079000001</v>
      </c>
      <c r="S21" s="461">
        <f>IF(Q21=0, "    ---- ", IF(ABS(ROUND(100/Q21*R21-100,1))&lt;999,ROUND(100/Q21*R21-100,1),IF(ROUND(100/Q21*R21-100,1)&gt;999,999,-999)))</f>
        <v>6.9</v>
      </c>
      <c r="T21" s="459">
        <v>-90.3</v>
      </c>
      <c r="U21" s="460">
        <f>SUM(U19:U20)</f>
        <v>-166.9</v>
      </c>
      <c r="V21" s="461">
        <f t="shared" si="5"/>
        <v>84.8</v>
      </c>
      <c r="W21" s="460">
        <v>-4566</v>
      </c>
      <c r="X21" s="460">
        <f>SUM(X19:X20)</f>
        <v>-5254.1813972199998</v>
      </c>
      <c r="Y21" s="461">
        <f>IF(W21=0, "    ---- ", IF(ABS(ROUND(100/W21*X21-100,1))&lt;999,ROUND(100/W21*X21-100,1),IF(ROUND(100/W21*X21-100,1)&gt;999,999,-999)))</f>
        <v>15.1</v>
      </c>
      <c r="Z21" s="460">
        <v>-1949</v>
      </c>
      <c r="AA21" s="460">
        <f>SUM(AA19:AA20)</f>
        <v>-1992.2270000000001</v>
      </c>
      <c r="AB21" s="461">
        <f>IF(Z21=0, "    ---- ", IF(ABS(ROUND(100/Z21*AA21-100,1))&lt;999,ROUND(100/Z21*AA21-100,1),IF(ROUND(100/Z21*AA21-100,1)&gt;999,999,-999)))</f>
        <v>2.2000000000000002</v>
      </c>
      <c r="AC21" s="459">
        <v>-110</v>
      </c>
      <c r="AD21" s="460">
        <f>SUM(AD19:AD20)</f>
        <v>-156</v>
      </c>
      <c r="AE21" s="461">
        <f>IF(AC21=0, "    ---- ", IF(ABS(ROUND(100/AC21*AD21-100,1))&lt;999,ROUND(100/AC21*AD21-100,1),IF(ROUND(100/AC21*AD21-100,1)&gt;999,999,-999)))</f>
        <v>41.8</v>
      </c>
      <c r="AF21" s="460">
        <v>-256.48829927999998</v>
      </c>
      <c r="AG21" s="460">
        <f>SUM(AG19:AG20)</f>
        <v>0</v>
      </c>
      <c r="AH21" s="461">
        <f t="shared" si="15"/>
        <v>-100</v>
      </c>
      <c r="AI21" s="460">
        <v>-1769.7184668800001</v>
      </c>
      <c r="AJ21" s="460">
        <f>SUM(AJ19:AJ20)</f>
        <v>-2206.0992904400005</v>
      </c>
      <c r="AK21" s="461">
        <f>IF(AI21=0, "    ---- ", IF(ABS(ROUND(100/AI21*AJ21-100,1))&lt;999,ROUND(100/AI21*AJ21-100,1),IF(ROUND(100/AI21*AJ21-100,1)&gt;999,999,-999)))</f>
        <v>24.7</v>
      </c>
      <c r="AL21" s="460">
        <v>-10728</v>
      </c>
      <c r="AM21" s="460">
        <f>SUM(AM19:AM20)</f>
        <v>-11063</v>
      </c>
      <c r="AN21" s="461">
        <f>IF(AL21=0, "    ---- ", IF(ABS(ROUND(100/AL21*AM21-100,1))&lt;999,ROUND(100/AL21*AM21-100,1),IF(ROUND(100/AL21*AM21-100,1)&gt;999,999,-999)))</f>
        <v>3.1</v>
      </c>
      <c r="AO21" s="461">
        <f t="shared" si="13"/>
        <v>-44677.133653159995</v>
      </c>
      <c r="AP21" s="461">
        <f t="shared" si="13"/>
        <v>-48308.715766660003</v>
      </c>
      <c r="AQ21" s="461">
        <f t="shared" si="11"/>
        <v>8.1</v>
      </c>
      <c r="AR21" s="465">
        <f t="shared" si="16"/>
        <v>-44810.133653159995</v>
      </c>
      <c r="AS21" s="461">
        <f t="shared" si="16"/>
        <v>-48480.715766660003</v>
      </c>
      <c r="AT21" s="461">
        <f>IF(AR21=0, "    ---- ", IF(ABS(ROUND(100/AR21*AS21-100,1))&lt;999,ROUND(100/AR21*AS21-100,1),IF(ROUND(100/AR21*AS21-100,1)&gt;999,999,-999)))</f>
        <v>8.1999999999999993</v>
      </c>
      <c r="AV21" s="468"/>
    </row>
    <row r="22" spans="1:48" s="427" customFormat="1" ht="18.75" customHeight="1" x14ac:dyDescent="0.3">
      <c r="A22" s="458" t="s">
        <v>320</v>
      </c>
      <c r="B22" s="469"/>
      <c r="C22" s="470"/>
      <c r="D22" s="461"/>
      <c r="E22" s="469"/>
      <c r="F22" s="470"/>
      <c r="G22" s="461"/>
      <c r="H22" s="473"/>
      <c r="I22" s="474"/>
      <c r="J22" s="461"/>
      <c r="K22" s="469"/>
      <c r="L22" s="470"/>
      <c r="M22" s="461"/>
      <c r="N22" s="473"/>
      <c r="O22" s="474"/>
      <c r="P22" s="461"/>
      <c r="Q22" s="469"/>
      <c r="R22" s="470"/>
      <c r="S22" s="461"/>
      <c r="T22" s="473"/>
      <c r="U22" s="474"/>
      <c r="V22" s="461"/>
      <c r="W22" s="473"/>
      <c r="X22" s="474"/>
      <c r="Y22" s="461"/>
      <c r="Z22" s="473"/>
      <c r="AA22" s="474"/>
      <c r="AB22" s="461"/>
      <c r="AC22" s="473"/>
      <c r="AD22" s="474"/>
      <c r="AE22" s="461"/>
      <c r="AF22" s="469"/>
      <c r="AG22" s="470"/>
      <c r="AH22" s="461"/>
      <c r="AI22" s="473"/>
      <c r="AJ22" s="474"/>
      <c r="AK22" s="461"/>
      <c r="AL22" s="469"/>
      <c r="AM22" s="470"/>
      <c r="AN22" s="461"/>
      <c r="AO22" s="461"/>
      <c r="AP22" s="461"/>
      <c r="AQ22" s="461"/>
      <c r="AR22" s="461"/>
      <c r="AS22" s="461"/>
      <c r="AT22" s="461"/>
    </row>
    <row r="23" spans="1:48" s="427" customFormat="1" ht="18.75" customHeight="1" x14ac:dyDescent="0.3">
      <c r="A23" s="458" t="s">
        <v>321</v>
      </c>
      <c r="B23" s="461">
        <v>-22.64</v>
      </c>
      <c r="C23" s="324">
        <v>-46.113</v>
      </c>
      <c r="D23" s="461">
        <f t="shared" ref="D23:D29" si="17">IF(B23=0, "    ---- ", IF(ABS(ROUND(100/B23*C23-100,1))&lt;999,ROUND(100/B23*C23-100,1),IF(ROUND(100/B23*C23-100,1)&gt;999,999,-999)))</f>
        <v>103.7</v>
      </c>
      <c r="E23" s="461">
        <v>-815.6</v>
      </c>
      <c r="F23" s="324">
        <v>1752.53</v>
      </c>
      <c r="G23" s="461">
        <f t="shared" ref="G23:G29" si="18">IF(E23=0, "    ---- ", IF(ABS(ROUND(100/E23*F23-100,1))&lt;999,ROUND(100/E23*F23-100,1),IF(ROUND(100/E23*F23-100,1)&gt;999,999,-999)))</f>
        <v>-314.89999999999998</v>
      </c>
      <c r="H23" s="461">
        <v>-175.22499999999999</v>
      </c>
      <c r="I23" s="324">
        <v>-224.40700000000001</v>
      </c>
      <c r="J23" s="461">
        <f>IF(H23=0, "    ---- ", IF(ABS(ROUND(100/H23*I23-100,1))&lt;999,ROUND(100/H23*I23-100,1),IF(ROUND(100/H23*I23-100,1)&gt;999,999,-999)))</f>
        <v>28.1</v>
      </c>
      <c r="K23" s="461">
        <v>-303.18</v>
      </c>
      <c r="L23" s="324">
        <v>-400.31600000000003</v>
      </c>
      <c r="M23" s="461">
        <f t="shared" ref="M23:M31" si="19">IF(K23=0, "    ---- ", IF(ABS(ROUND(100/K23*L23-100,1))&lt;999,ROUND(100/K23*L23-100,1),IF(ROUND(100/K23*L23-100,1)&gt;999,999,-999)))</f>
        <v>32</v>
      </c>
      <c r="N23" s="461">
        <v>9</v>
      </c>
      <c r="O23" s="324">
        <v>17</v>
      </c>
      <c r="P23" s="461">
        <f>IF(N23=0, "    ---- ", IF(ABS(ROUND(100/N23*O23-100,1))&lt;999,ROUND(100/N23*O23-100,1),IF(ROUND(100/N23*O23-100,1)&gt;999,999,-999)))</f>
        <v>88.9</v>
      </c>
      <c r="Q23" s="461">
        <v>-22697.18457492</v>
      </c>
      <c r="R23" s="324">
        <v>-16468.906251799999</v>
      </c>
      <c r="S23" s="461">
        <f t="shared" ref="S23:S30" si="20">IF(Q23=0, "    ---- ", IF(ABS(ROUND(100/Q23*R23-100,1))&lt;999,ROUND(100/Q23*R23-100,1),IF(ROUND(100/Q23*R23-100,1)&gt;999,999,-999)))</f>
        <v>-27.4</v>
      </c>
      <c r="T23" s="461">
        <v>-60.2</v>
      </c>
      <c r="U23" s="324">
        <v>-23.2</v>
      </c>
      <c r="V23" s="461">
        <f t="shared" si="5"/>
        <v>-61.5</v>
      </c>
      <c r="W23" s="461">
        <v>-785</v>
      </c>
      <c r="X23" s="324">
        <v>-426</v>
      </c>
      <c r="Y23" s="461">
        <f t="shared" ref="Y23:Y29" si="21">IF(W23=0, "    ---- ", IF(ABS(ROUND(100/W23*X23-100,1))&lt;999,ROUND(100/W23*X23-100,1),IF(ROUND(100/W23*X23-100,1)&gt;999,999,-999)))</f>
        <v>-45.7</v>
      </c>
      <c r="Z23" s="461">
        <v>-2091</v>
      </c>
      <c r="AA23" s="324">
        <v>-1754.424</v>
      </c>
      <c r="AB23" s="461">
        <f t="shared" ref="AB23:AB29" si="22">IF(Z23=0, "    ---- ", IF(ABS(ROUND(100/Z23*AA23-100,1))&lt;999,ROUND(100/Z23*AA23-100,1),IF(ROUND(100/Z23*AA23-100,1)&gt;999,999,-999)))</f>
        <v>-16.100000000000001</v>
      </c>
      <c r="AC23" s="461"/>
      <c r="AD23" s="324"/>
      <c r="AE23" s="461"/>
      <c r="AF23" s="461">
        <v>-93.76382289</v>
      </c>
      <c r="AG23" s="324"/>
      <c r="AH23" s="461">
        <f t="shared" si="15"/>
        <v>-100</v>
      </c>
      <c r="AI23" s="461">
        <v>-518.45312493000006</v>
      </c>
      <c r="AJ23" s="324">
        <v>-612.42973699000061</v>
      </c>
      <c r="AK23" s="461">
        <f t="shared" ref="AK23:AK29" si="23">IF(AI23=0, "    ---- ", IF(ABS(ROUND(100/AI23*AJ23-100,1))&lt;999,ROUND(100/AI23*AJ23-100,1),IF(ROUND(100/AI23*AJ23-100,1)&gt;999,999,-999)))</f>
        <v>18.100000000000001</v>
      </c>
      <c r="AL23" s="461">
        <v>170</v>
      </c>
      <c r="AM23" s="324">
        <v>-767</v>
      </c>
      <c r="AN23" s="461">
        <f t="shared" ref="AN23:AN29" si="24">IF(AL23=0, "    ---- ", IF(ABS(ROUND(100/AL23*AM23-100,1))&lt;999,ROUND(100/AL23*AM23-100,1),IF(ROUND(100/AL23*AM23-100,1)&gt;999,999,-999)))</f>
        <v>-551.20000000000005</v>
      </c>
      <c r="AO23" s="461">
        <f t="shared" si="13"/>
        <v>-27392.246522740003</v>
      </c>
      <c r="AP23" s="461">
        <f t="shared" si="13"/>
        <v>-18970.265988790001</v>
      </c>
      <c r="AQ23" s="461">
        <f t="shared" si="11"/>
        <v>-30.7</v>
      </c>
      <c r="AR23" s="461"/>
      <c r="AS23" s="461"/>
      <c r="AT23" s="461"/>
    </row>
    <row r="24" spans="1:48" s="427" customFormat="1" ht="18.75" customHeight="1" x14ac:dyDescent="0.3">
      <c r="A24" s="458" t="s">
        <v>322</v>
      </c>
      <c r="B24" s="461"/>
      <c r="C24" s="324"/>
      <c r="D24" s="461"/>
      <c r="E24" s="461">
        <v>-2</v>
      </c>
      <c r="F24" s="324">
        <v>-15.831</v>
      </c>
      <c r="G24" s="461">
        <f t="shared" si="18"/>
        <v>691.6</v>
      </c>
      <c r="H24" s="461"/>
      <c r="I24" s="324"/>
      <c r="J24" s="461"/>
      <c r="K24" s="461">
        <v>-0.42799999999999999</v>
      </c>
      <c r="L24" s="324">
        <v>-1.087</v>
      </c>
      <c r="M24" s="461">
        <f t="shared" si="19"/>
        <v>154</v>
      </c>
      <c r="N24" s="461"/>
      <c r="O24" s="324"/>
      <c r="P24" s="461"/>
      <c r="Q24" s="461">
        <v>9.2478010000000008</v>
      </c>
      <c r="R24" s="324">
        <v>12.645726</v>
      </c>
      <c r="S24" s="461">
        <f t="shared" si="20"/>
        <v>36.700000000000003</v>
      </c>
      <c r="T24" s="461"/>
      <c r="U24" s="324">
        <v>0.2</v>
      </c>
      <c r="V24" s="461" t="str">
        <f t="shared" si="5"/>
        <v xml:space="preserve">    ---- </v>
      </c>
      <c r="W24" s="461">
        <v>21</v>
      </c>
      <c r="X24" s="324">
        <v>19</v>
      </c>
      <c r="Y24" s="461">
        <f t="shared" si="21"/>
        <v>-9.5</v>
      </c>
      <c r="Z24" s="461"/>
      <c r="AA24" s="324"/>
      <c r="AB24" s="461"/>
      <c r="AC24" s="461"/>
      <c r="AD24" s="324"/>
      <c r="AE24" s="461"/>
      <c r="AF24" s="461">
        <v>1.25744368</v>
      </c>
      <c r="AG24" s="324"/>
      <c r="AH24" s="461">
        <f t="shared" si="15"/>
        <v>-100</v>
      </c>
      <c r="AI24" s="461">
        <v>11.859132289999991</v>
      </c>
      <c r="AJ24" s="324">
        <v>24.998048909999966</v>
      </c>
      <c r="AK24" s="461">
        <f t="shared" si="23"/>
        <v>110.8</v>
      </c>
      <c r="AL24" s="461">
        <v>141</v>
      </c>
      <c r="AM24" s="324">
        <v>73</v>
      </c>
      <c r="AN24" s="461">
        <f t="shared" si="24"/>
        <v>-48.2</v>
      </c>
      <c r="AO24" s="461">
        <f t="shared" si="13"/>
        <v>181.93637697</v>
      </c>
      <c r="AP24" s="461">
        <f t="shared" si="13"/>
        <v>112.92577490999997</v>
      </c>
      <c r="AQ24" s="461">
        <f t="shared" si="11"/>
        <v>-37.9</v>
      </c>
      <c r="AR24" s="461"/>
      <c r="AS24" s="461"/>
      <c r="AT24" s="461"/>
    </row>
    <row r="25" spans="1:48" s="427" customFormat="1" ht="18.75" customHeight="1" x14ac:dyDescent="0.3">
      <c r="A25" s="458" t="s">
        <v>323</v>
      </c>
      <c r="B25" s="461">
        <v>-18.663</v>
      </c>
      <c r="C25" s="324">
        <v>-9.9909999999999997</v>
      </c>
      <c r="D25" s="461">
        <f t="shared" si="17"/>
        <v>-46.5</v>
      </c>
      <c r="E25" s="461">
        <v>-363.6</v>
      </c>
      <c r="F25" s="324">
        <v>-231.18299999999999</v>
      </c>
      <c r="G25" s="461">
        <f t="shared" si="18"/>
        <v>-36.4</v>
      </c>
      <c r="H25" s="461"/>
      <c r="I25" s="324"/>
      <c r="J25" s="461"/>
      <c r="K25" s="461">
        <v>-16.189</v>
      </c>
      <c r="L25" s="324">
        <v>-27.565999999999999</v>
      </c>
      <c r="M25" s="461">
        <f t="shared" si="19"/>
        <v>70.3</v>
      </c>
      <c r="N25" s="461"/>
      <c r="O25" s="324"/>
      <c r="P25" s="461"/>
      <c r="Q25" s="461">
        <v>-4529.1977120000001</v>
      </c>
      <c r="R25" s="324">
        <v>-7741.6201970000002</v>
      </c>
      <c r="S25" s="461">
        <f t="shared" si="20"/>
        <v>70.900000000000006</v>
      </c>
      <c r="T25" s="461">
        <v>-18.5</v>
      </c>
      <c r="U25" s="324">
        <v>-9</v>
      </c>
      <c r="V25" s="461">
        <f t="shared" si="5"/>
        <v>-51.4</v>
      </c>
      <c r="W25" s="461">
        <v>-159</v>
      </c>
      <c r="X25" s="324">
        <v>-228</v>
      </c>
      <c r="Y25" s="461">
        <f t="shared" si="21"/>
        <v>43.4</v>
      </c>
      <c r="Z25" s="461">
        <v>-237</v>
      </c>
      <c r="AA25" s="324">
        <v>-980.553</v>
      </c>
      <c r="AB25" s="461">
        <f t="shared" si="22"/>
        <v>313.7</v>
      </c>
      <c r="AC25" s="461"/>
      <c r="AD25" s="324"/>
      <c r="AE25" s="461"/>
      <c r="AF25" s="461">
        <v>59.781646610000003</v>
      </c>
      <c r="AG25" s="324"/>
      <c r="AH25" s="461">
        <f t="shared" si="15"/>
        <v>-100</v>
      </c>
      <c r="AI25" s="461">
        <v>-93.449805689999991</v>
      </c>
      <c r="AJ25" s="324">
        <v>-253.77312397</v>
      </c>
      <c r="AK25" s="461">
        <f t="shared" si="23"/>
        <v>171.6</v>
      </c>
      <c r="AL25" s="461">
        <v>300</v>
      </c>
      <c r="AM25" s="324">
        <v>579</v>
      </c>
      <c r="AN25" s="461">
        <f t="shared" si="24"/>
        <v>93</v>
      </c>
      <c r="AO25" s="461">
        <f t="shared" si="13"/>
        <v>-5075.8178710800003</v>
      </c>
      <c r="AP25" s="461">
        <f t="shared" si="13"/>
        <v>-8902.6863209700005</v>
      </c>
      <c r="AQ25" s="461">
        <f t="shared" si="11"/>
        <v>75.400000000000006</v>
      </c>
      <c r="AR25" s="461"/>
      <c r="AS25" s="461"/>
      <c r="AT25" s="461"/>
    </row>
    <row r="26" spans="1:48" s="427" customFormat="1" ht="18.75" customHeight="1" x14ac:dyDescent="0.3">
      <c r="A26" s="458" t="s">
        <v>324</v>
      </c>
      <c r="B26" s="461"/>
      <c r="C26" s="324"/>
      <c r="D26" s="461"/>
      <c r="E26" s="461">
        <v>-21</v>
      </c>
      <c r="F26" s="324">
        <v>-15.333</v>
      </c>
      <c r="G26" s="461">
        <f t="shared" si="18"/>
        <v>-27</v>
      </c>
      <c r="H26" s="461"/>
      <c r="I26" s="324"/>
      <c r="J26" s="461"/>
      <c r="K26" s="461">
        <v>3.052</v>
      </c>
      <c r="L26" s="324">
        <v>0.16900000000000001</v>
      </c>
      <c r="M26" s="461">
        <f t="shared" si="19"/>
        <v>-94.5</v>
      </c>
      <c r="N26" s="461"/>
      <c r="O26" s="324"/>
      <c r="P26" s="461"/>
      <c r="Q26" s="461">
        <v>-225.28827899999999</v>
      </c>
      <c r="R26" s="324">
        <v>-230.17031600000001</v>
      </c>
      <c r="S26" s="461">
        <f t="shared" si="20"/>
        <v>2.2000000000000002</v>
      </c>
      <c r="T26" s="461">
        <v>-1.9</v>
      </c>
      <c r="U26" s="324">
        <v>-0.4</v>
      </c>
      <c r="V26" s="461">
        <f t="shared" si="5"/>
        <v>-78.900000000000006</v>
      </c>
      <c r="W26" s="461">
        <v>-3</v>
      </c>
      <c r="X26" s="324">
        <v>-3</v>
      </c>
      <c r="Y26" s="461">
        <f t="shared" si="21"/>
        <v>0</v>
      </c>
      <c r="Z26" s="461">
        <v>-32</v>
      </c>
      <c r="AA26" s="324">
        <v>-31.561</v>
      </c>
      <c r="AB26" s="461">
        <f t="shared" si="22"/>
        <v>-1.4</v>
      </c>
      <c r="AC26" s="461"/>
      <c r="AD26" s="324"/>
      <c r="AE26" s="461"/>
      <c r="AF26" s="461"/>
      <c r="AG26" s="324"/>
      <c r="AH26" s="461"/>
      <c r="AI26" s="461">
        <v>-3.040886</v>
      </c>
      <c r="AJ26" s="324">
        <v>-2.9683480000000002</v>
      </c>
      <c r="AK26" s="461">
        <f t="shared" si="23"/>
        <v>-2.4</v>
      </c>
      <c r="AL26" s="461">
        <v>-5</v>
      </c>
      <c r="AM26" s="324">
        <v>-17</v>
      </c>
      <c r="AN26" s="461">
        <f t="shared" si="24"/>
        <v>240</v>
      </c>
      <c r="AO26" s="461">
        <f t="shared" si="13"/>
        <v>-288.177165</v>
      </c>
      <c r="AP26" s="461">
        <f t="shared" si="13"/>
        <v>-300.26366400000001</v>
      </c>
      <c r="AQ26" s="461">
        <f t="shared" si="11"/>
        <v>4.2</v>
      </c>
      <c r="AR26" s="461"/>
      <c r="AS26" s="461"/>
      <c r="AT26" s="461"/>
    </row>
    <row r="27" spans="1:48" s="427" customFormat="1" ht="18.75" customHeight="1" x14ac:dyDescent="0.3">
      <c r="A27" s="458" t="s">
        <v>325</v>
      </c>
      <c r="B27" s="461">
        <v>10.804</v>
      </c>
      <c r="C27" s="324">
        <v>-1.413</v>
      </c>
      <c r="D27" s="461">
        <f t="shared" si="17"/>
        <v>-113.1</v>
      </c>
      <c r="E27" s="461">
        <v>-78</v>
      </c>
      <c r="F27" s="324">
        <v>-91.260999999999996</v>
      </c>
      <c r="G27" s="461">
        <f t="shared" si="18"/>
        <v>17</v>
      </c>
      <c r="H27" s="461">
        <v>-1.9279999999999999</v>
      </c>
      <c r="I27" s="324">
        <v>-3.05</v>
      </c>
      <c r="J27" s="461">
        <f>IF(H27=0, "    ---- ", IF(ABS(ROUND(100/H27*I27-100,1))&lt;999,ROUND(100/H27*I27-100,1),IF(ROUND(100/H27*I27-100,1)&gt;999,999,-999)))</f>
        <v>58.2</v>
      </c>
      <c r="K27" s="461"/>
      <c r="L27" s="324"/>
      <c r="M27" s="461"/>
      <c r="N27" s="461"/>
      <c r="O27" s="324"/>
      <c r="P27" s="461"/>
      <c r="Q27" s="461"/>
      <c r="R27" s="324"/>
      <c r="S27" s="461"/>
      <c r="T27" s="461"/>
      <c r="U27" s="324"/>
      <c r="V27" s="461"/>
      <c r="W27" s="461"/>
      <c r="X27" s="324"/>
      <c r="Y27" s="461"/>
      <c r="Z27" s="461"/>
      <c r="AA27" s="324">
        <v>-4</v>
      </c>
      <c r="AB27" s="461" t="str">
        <f t="shared" si="22"/>
        <v xml:space="preserve">    ---- </v>
      </c>
      <c r="AC27" s="461"/>
      <c r="AD27" s="324"/>
      <c r="AE27" s="461"/>
      <c r="AF27" s="461"/>
      <c r="AG27" s="324"/>
      <c r="AH27" s="461"/>
      <c r="AI27" s="461"/>
      <c r="AJ27" s="324"/>
      <c r="AK27" s="461"/>
      <c r="AL27" s="461">
        <v>-60</v>
      </c>
      <c r="AM27" s="324">
        <v>-17</v>
      </c>
      <c r="AN27" s="461">
        <f t="shared" si="24"/>
        <v>-71.7</v>
      </c>
      <c r="AO27" s="461">
        <f t="shared" si="13"/>
        <v>-129.124</v>
      </c>
      <c r="AP27" s="461">
        <f t="shared" si="13"/>
        <v>-116.72399999999999</v>
      </c>
      <c r="AQ27" s="461">
        <f t="shared" si="11"/>
        <v>-9.6</v>
      </c>
      <c r="AR27" s="461"/>
      <c r="AS27" s="461"/>
      <c r="AT27" s="461"/>
    </row>
    <row r="28" spans="1:48" s="427" customFormat="1" ht="18.75" customHeight="1" x14ac:dyDescent="0.3">
      <c r="A28" s="458" t="s">
        <v>326</v>
      </c>
      <c r="B28" s="461"/>
      <c r="C28" s="324"/>
      <c r="D28" s="461"/>
      <c r="E28" s="461">
        <v>12</v>
      </c>
      <c r="F28" s="324">
        <v>19.440000000000001</v>
      </c>
      <c r="G28" s="461">
        <f t="shared" si="18"/>
        <v>62</v>
      </c>
      <c r="H28" s="461"/>
      <c r="I28" s="324"/>
      <c r="J28" s="461"/>
      <c r="K28" s="461"/>
      <c r="L28" s="324"/>
      <c r="M28" s="461"/>
      <c r="N28" s="461"/>
      <c r="O28" s="324"/>
      <c r="P28" s="461"/>
      <c r="Q28" s="461">
        <v>-2.6871149999999999</v>
      </c>
      <c r="R28" s="324">
        <v>0</v>
      </c>
      <c r="S28" s="461">
        <f t="shared" si="20"/>
        <v>-100</v>
      </c>
      <c r="T28" s="461"/>
      <c r="U28" s="324"/>
      <c r="V28" s="461"/>
      <c r="W28" s="461"/>
      <c r="X28" s="324"/>
      <c r="Y28" s="461"/>
      <c r="Z28" s="461"/>
      <c r="AA28" s="324"/>
      <c r="AB28" s="461"/>
      <c r="AC28" s="461"/>
      <c r="AD28" s="324"/>
      <c r="AE28" s="461"/>
      <c r="AF28" s="461">
        <v>0</v>
      </c>
      <c r="AG28" s="324"/>
      <c r="AH28" s="461"/>
      <c r="AI28" s="461">
        <v>7.9909999999999998E-3</v>
      </c>
      <c r="AJ28" s="324">
        <v>0</v>
      </c>
      <c r="AK28" s="461">
        <f t="shared" si="23"/>
        <v>-100</v>
      </c>
      <c r="AL28" s="461">
        <v>4</v>
      </c>
      <c r="AM28" s="324">
        <v>-12</v>
      </c>
      <c r="AN28" s="461">
        <f t="shared" si="24"/>
        <v>-400</v>
      </c>
      <c r="AO28" s="461">
        <f t="shared" si="13"/>
        <v>13.320876</v>
      </c>
      <c r="AP28" s="461">
        <f t="shared" si="13"/>
        <v>7.4400000000000013</v>
      </c>
      <c r="AQ28" s="461">
        <f t="shared" si="11"/>
        <v>-44.1</v>
      </c>
      <c r="AR28" s="461"/>
      <c r="AS28" s="461"/>
      <c r="AT28" s="461"/>
    </row>
    <row r="29" spans="1:48" s="427" customFormat="1" ht="18.75" customHeight="1" x14ac:dyDescent="0.3">
      <c r="A29" s="458" t="s">
        <v>327</v>
      </c>
      <c r="B29" s="324">
        <v>-30.498999999999995</v>
      </c>
      <c r="C29" s="324">
        <f>SUM(C23:C28)</f>
        <v>-57.516999999999996</v>
      </c>
      <c r="D29" s="461">
        <f t="shared" si="17"/>
        <v>88.6</v>
      </c>
      <c r="E29" s="459">
        <v>-1268.2</v>
      </c>
      <c r="F29" s="324">
        <f>SUM(F23:F28)</f>
        <v>1418.3620000000001</v>
      </c>
      <c r="G29" s="461">
        <f t="shared" si="18"/>
        <v>-211.8</v>
      </c>
      <c r="H29" s="324">
        <v>-177.15299999999999</v>
      </c>
      <c r="I29" s="324">
        <f>SUM(I23:I28)</f>
        <v>-227.45700000000002</v>
      </c>
      <c r="J29" s="461">
        <f>IF(H29=0, "    ---- ", IF(ABS(ROUND(100/H29*I29-100,1))&lt;999,ROUND(100/H29*I29-100,1),IF(ROUND(100/H29*I29-100,1)&gt;999,999,-999)))</f>
        <v>28.4</v>
      </c>
      <c r="K29" s="324">
        <v>-316.745</v>
      </c>
      <c r="L29" s="324">
        <f>SUM(L23:L28)</f>
        <v>-428.8</v>
      </c>
      <c r="M29" s="461">
        <f t="shared" si="19"/>
        <v>35.4</v>
      </c>
      <c r="N29" s="324">
        <v>9</v>
      </c>
      <c r="O29" s="324">
        <f>SUM(O23:O28)</f>
        <v>17</v>
      </c>
      <c r="P29" s="461">
        <f>IF(N29=0, "    ---- ", IF(ABS(ROUND(100/N29*O29-100,1))&lt;999,ROUND(100/N29*O29-100,1),IF(ROUND(100/N29*O29-100,1)&gt;999,999,-999)))</f>
        <v>88.9</v>
      </c>
      <c r="Q29" s="324">
        <v>-27445.109879920001</v>
      </c>
      <c r="R29" s="324">
        <f>SUM(R23:R28)</f>
        <v>-24428.0510388</v>
      </c>
      <c r="S29" s="461">
        <f t="shared" si="20"/>
        <v>-11</v>
      </c>
      <c r="T29" s="461">
        <v>-80.600000000000009</v>
      </c>
      <c r="U29" s="324">
        <f>SUM(U23:U28)</f>
        <v>-32.4</v>
      </c>
      <c r="V29" s="461">
        <f t="shared" si="5"/>
        <v>-59.8</v>
      </c>
      <c r="W29" s="324">
        <v>-926</v>
      </c>
      <c r="X29" s="324">
        <f>SUM(X23:X28)</f>
        <v>-638</v>
      </c>
      <c r="Y29" s="461">
        <f t="shared" si="21"/>
        <v>-31.1</v>
      </c>
      <c r="Z29" s="324">
        <v>-2360</v>
      </c>
      <c r="AA29" s="324">
        <f>SUM(AA23:AA28)</f>
        <v>-2770.538</v>
      </c>
      <c r="AB29" s="461">
        <f t="shared" si="22"/>
        <v>17.399999999999999</v>
      </c>
      <c r="AC29" s="461"/>
      <c r="AD29" s="324"/>
      <c r="AE29" s="461"/>
      <c r="AF29" s="324">
        <v>-32.724732600000003</v>
      </c>
      <c r="AG29" s="324">
        <f>SUM(AG23:AG28)</f>
        <v>0</v>
      </c>
      <c r="AH29" s="461">
        <f t="shared" si="15"/>
        <v>-100</v>
      </c>
      <c r="AI29" s="324">
        <v>-603.07669333000013</v>
      </c>
      <c r="AJ29" s="324">
        <f>SUM(AJ23:AJ28)</f>
        <v>-844.17316005000066</v>
      </c>
      <c r="AK29" s="461">
        <f t="shared" si="23"/>
        <v>40</v>
      </c>
      <c r="AL29" s="324">
        <v>550</v>
      </c>
      <c r="AM29" s="324">
        <f>SUM(AM23:AM28)</f>
        <v>-161</v>
      </c>
      <c r="AN29" s="461">
        <f t="shared" si="24"/>
        <v>-129.30000000000001</v>
      </c>
      <c r="AO29" s="461">
        <f t="shared" si="13"/>
        <v>-32690.108305850001</v>
      </c>
      <c r="AP29" s="461">
        <f t="shared" si="13"/>
        <v>-28169.574198850001</v>
      </c>
      <c r="AQ29" s="461">
        <f t="shared" si="11"/>
        <v>-13.8</v>
      </c>
      <c r="AR29" s="461"/>
      <c r="AS29" s="461"/>
      <c r="AT29" s="461"/>
      <c r="AV29" s="468"/>
    </row>
    <row r="30" spans="1:48" s="427" customFormat="1" ht="18.75" customHeight="1" x14ac:dyDescent="0.3">
      <c r="A30" s="458" t="s">
        <v>328</v>
      </c>
      <c r="B30" s="461">
        <v>-798.86199999999997</v>
      </c>
      <c r="C30" s="324">
        <v>-2074.6350000000002</v>
      </c>
      <c r="D30" s="461">
        <f>IF(B30=0, "    ---- ", IF(ABS(ROUND(100/B30*C30-100,1))&lt;999,ROUND(100/B30*C30-100,1),IF(ROUND(100/B30*C30-100,1)&gt;999,999,-999)))</f>
        <v>159.69999999999999</v>
      </c>
      <c r="E30" s="461">
        <v>-6662.5</v>
      </c>
      <c r="F30" s="324">
        <v>-10375.299999999999</v>
      </c>
      <c r="G30" s="461">
        <f>IF(E30=0, "    ---- ", IF(ABS(ROUND(100/E30*F30-100,1))&lt;999,ROUND(100/E30*F30-100,1),IF(ROUND(100/E30*F30-100,1)&gt;999,999,-999)))</f>
        <v>55.7</v>
      </c>
      <c r="H30" s="461">
        <v>-154.61600000000001</v>
      </c>
      <c r="I30" s="324">
        <v>-341.85399999999998</v>
      </c>
      <c r="J30" s="461"/>
      <c r="K30" s="461">
        <v>-1704.6869999999999</v>
      </c>
      <c r="L30" s="324">
        <v>-3625.8449999999998</v>
      </c>
      <c r="M30" s="461">
        <f t="shared" si="19"/>
        <v>112.7</v>
      </c>
      <c r="N30" s="461"/>
      <c r="O30" s="324"/>
      <c r="P30" s="461"/>
      <c r="Q30" s="461">
        <v>-76.193630999999996</v>
      </c>
      <c r="R30" s="324">
        <v>-82.664835999999994</v>
      </c>
      <c r="S30" s="461">
        <f t="shared" si="20"/>
        <v>8.5</v>
      </c>
      <c r="T30" s="461">
        <v>-307.3</v>
      </c>
      <c r="U30" s="324">
        <v>-761.4</v>
      </c>
      <c r="V30" s="461">
        <f t="shared" si="5"/>
        <v>147.80000000000001</v>
      </c>
      <c r="W30" s="461">
        <v>-5096</v>
      </c>
      <c r="X30" s="324">
        <v>-7348</v>
      </c>
      <c r="Y30" s="461">
        <f>IF(W30=0, "    ---- ", IF(ABS(ROUND(100/W30*X30-100,1))&lt;999,ROUND(100/W30*X30-100,1),IF(ROUND(100/W30*X30-100,1)&gt;999,999,-999)))</f>
        <v>44.2</v>
      </c>
      <c r="Z30" s="461"/>
      <c r="AA30" s="324"/>
      <c r="AB30" s="461"/>
      <c r="AC30" s="461">
        <v>-1</v>
      </c>
      <c r="AD30" s="324">
        <v>-180</v>
      </c>
      <c r="AE30" s="461">
        <f>IF(AC30=0, "    ---- ", IF(ABS(ROUND(100/AC30*AD30-100,1))&lt;999,ROUND(100/AC30*AD30-100,1),IF(ROUND(100/AC30*AD30-100,1)&gt;999,999,-999)))</f>
        <v>999</v>
      </c>
      <c r="AF30" s="461">
        <v>122.40749982</v>
      </c>
      <c r="AG30" s="324"/>
      <c r="AH30" s="461">
        <f t="shared" si="15"/>
        <v>-100</v>
      </c>
      <c r="AI30" s="461">
        <v>-2304.8574865400005</v>
      </c>
      <c r="AJ30" s="324">
        <v>-4326.5798227600008</v>
      </c>
      <c r="AK30" s="461">
        <f>IF(AI30=0, "    ---- ", IF(ABS(ROUND(100/AI30*AJ30-100,1))&lt;999,ROUND(100/AI30*AJ30-100,1),IF(ROUND(100/AI30*AJ30-100,1)&gt;999,999,-999)))</f>
        <v>87.7</v>
      </c>
      <c r="AL30" s="461">
        <v>-7441</v>
      </c>
      <c r="AM30" s="324">
        <v>-10265</v>
      </c>
      <c r="AN30" s="461">
        <f>IF(AL30=0, "    ---- ", IF(ABS(ROUND(100/AL30*AM30-100,1))&lt;999,ROUND(100/AL30*AM30-100,1),IF(ROUND(100/AL30*AM30-100,1)&gt;999,999,-999)))</f>
        <v>38</v>
      </c>
      <c r="AO30" s="461">
        <f t="shared" si="13"/>
        <v>-24423.608617720001</v>
      </c>
      <c r="AP30" s="461">
        <f t="shared" si="13"/>
        <v>-39201.278658759999</v>
      </c>
      <c r="AQ30" s="461">
        <f t="shared" si="11"/>
        <v>60.5</v>
      </c>
      <c r="AR30" s="461"/>
      <c r="AS30" s="461"/>
      <c r="AT30" s="461"/>
    </row>
    <row r="31" spans="1:48" s="427" customFormat="1" ht="18.75" customHeight="1" x14ac:dyDescent="0.3">
      <c r="A31" s="458" t="s">
        <v>329</v>
      </c>
      <c r="B31" s="461"/>
      <c r="C31" s="324"/>
      <c r="D31" s="461"/>
      <c r="E31" s="461">
        <v>-984.6</v>
      </c>
      <c r="F31" s="324">
        <v>-2548.9580000000001</v>
      </c>
      <c r="G31" s="461">
        <f>IF(E31=0, "    ---- ", IF(ABS(ROUND(100/E31*F31-100,1))&lt;999,ROUND(100/E31*F31-100,1),IF(ROUND(100/E31*F31-100,1)&gt;999,999,-999)))</f>
        <v>158.9</v>
      </c>
      <c r="H31" s="461"/>
      <c r="I31" s="324"/>
      <c r="J31" s="461"/>
      <c r="K31" s="461">
        <v>-41.292000000000002</v>
      </c>
      <c r="L31" s="324">
        <v>-25.454000000000001</v>
      </c>
      <c r="M31" s="461">
        <f t="shared" si="19"/>
        <v>-38.4</v>
      </c>
      <c r="N31" s="461"/>
      <c r="O31" s="324"/>
      <c r="P31" s="461"/>
      <c r="Q31" s="461">
        <v>-6890.5771839999998</v>
      </c>
      <c r="R31" s="324">
        <v>-5592.3449909999999</v>
      </c>
      <c r="S31" s="461">
        <f>IF(Q31=0, "    ---- ", IF(ABS(ROUND(100/Q31*R31-100,1))&lt;999,ROUND(100/Q31*R31-100,1),IF(ROUND(100/Q31*R31-100,1)&gt;999,999,-999)))</f>
        <v>-18.8</v>
      </c>
      <c r="T31" s="461">
        <v>-16.2</v>
      </c>
      <c r="U31" s="324">
        <v>-17.8</v>
      </c>
      <c r="V31" s="461">
        <f t="shared" si="5"/>
        <v>9.9</v>
      </c>
      <c r="W31" s="461">
        <v>-233</v>
      </c>
      <c r="X31" s="324">
        <v>-408</v>
      </c>
      <c r="Y31" s="461">
        <f>IF(W31=0, "    ---- ", IF(ABS(ROUND(100/W31*X31-100,1))&lt;999,ROUND(100/W31*X31-100,1),IF(ROUND(100/W31*X31-100,1)&gt;999,999,-999)))</f>
        <v>75.099999999999994</v>
      </c>
      <c r="Z31" s="461">
        <v>-1348</v>
      </c>
      <c r="AA31" s="324">
        <v>-2954.0239999999999</v>
      </c>
      <c r="AB31" s="461">
        <f>IF(Z31=0, "    ---- ", IF(ABS(ROUND(100/Z31*AA31-100,1))&lt;999,ROUND(100/Z31*AA31-100,1),IF(ROUND(100/Z31*AA31-100,1)&gt;999,999,-999)))</f>
        <v>119.1</v>
      </c>
      <c r="AC31" s="461"/>
      <c r="AD31" s="324"/>
      <c r="AE31" s="461"/>
      <c r="AF31" s="461">
        <v>-61.784087999999997</v>
      </c>
      <c r="AG31" s="324"/>
      <c r="AH31" s="461">
        <f t="shared" si="15"/>
        <v>-100</v>
      </c>
      <c r="AI31" s="461">
        <v>-197.16949323</v>
      </c>
      <c r="AJ31" s="324">
        <v>-242.66858257999999</v>
      </c>
      <c r="AK31" s="461">
        <f>IF(AI31=0, "    ---- ", IF(ABS(ROUND(100/AI31*AJ31-100,1))&lt;999,ROUND(100/AI31*AJ31-100,1),IF(ROUND(100/AI31*AJ31-100,1)&gt;999,999,-999)))</f>
        <v>23.1</v>
      </c>
      <c r="AL31" s="461">
        <v>-3546</v>
      </c>
      <c r="AM31" s="324">
        <v>-3306</v>
      </c>
      <c r="AN31" s="461">
        <f>IF(AL31=0, "    ---- ", IF(ABS(ROUND(100/AL31*AM31-100,1))&lt;999,ROUND(100/AL31*AM31-100,1),IF(ROUND(100/AL31*AM31-100,1)&gt;999,999,-999)))</f>
        <v>-6.8</v>
      </c>
      <c r="AO31" s="461">
        <f t="shared" si="13"/>
        <v>-13318.622765229999</v>
      </c>
      <c r="AP31" s="461">
        <f t="shared" si="13"/>
        <v>-15095.24957358</v>
      </c>
      <c r="AQ31" s="461">
        <f t="shared" si="11"/>
        <v>13.3</v>
      </c>
      <c r="AR31" s="461"/>
      <c r="AS31" s="461"/>
      <c r="AT31" s="461"/>
    </row>
    <row r="32" spans="1:48" s="427" customFormat="1" ht="18.75" customHeight="1" x14ac:dyDescent="0.3">
      <c r="A32" s="458" t="s">
        <v>330</v>
      </c>
      <c r="B32" s="461">
        <v>-136.267</v>
      </c>
      <c r="C32" s="324">
        <v>-140.511</v>
      </c>
      <c r="D32" s="461">
        <f>IF(B32=0, "    ---- ", IF(ABS(ROUND(100/B32*C32-100,1))&lt;999,ROUND(100/B32*C32-100,1),IF(ROUND(100/B32*C32-100,1)&gt;999,999,-999)))</f>
        <v>3.1</v>
      </c>
      <c r="E32" s="461">
        <v>-991</v>
      </c>
      <c r="F32" s="324">
        <v>-942.673</v>
      </c>
      <c r="G32" s="461">
        <f>IF(E32=0, "    ---- ", IF(ABS(ROUND(100/E32*F32-100,1))&lt;999,ROUND(100/E32*F32-100,1),IF(ROUND(100/E32*F32-100,1)&gt;999,999,-999)))</f>
        <v>-4.9000000000000004</v>
      </c>
      <c r="H32" s="461">
        <v>-155.72999999999999</v>
      </c>
      <c r="I32" s="324">
        <v>-173.03100000000001</v>
      </c>
      <c r="J32" s="461">
        <f>IF(H32=0, "    ---- ", IF(ABS(ROUND(100/H32*I32-100,1))&lt;999,ROUND(100/H32*I32-100,1),IF(ROUND(100/H32*I32-100,1)&gt;999,999,-999)))</f>
        <v>11.1</v>
      </c>
      <c r="K32" s="461">
        <v>-144.792</v>
      </c>
      <c r="L32" s="324">
        <v>-173.42</v>
      </c>
      <c r="M32" s="461">
        <f>IF(K32=0, "    ---- ", IF(ABS(ROUND(100/K32*L32-100,1))&lt;999,ROUND(100/K32*L32-100,1),IF(ROUND(100/K32*L32-100,1)&gt;999,999,-999)))</f>
        <v>19.8</v>
      </c>
      <c r="N32" s="461">
        <v>-8</v>
      </c>
      <c r="O32" s="324">
        <v>-9</v>
      </c>
      <c r="P32" s="461">
        <f>IF(N32=0, "    ---- ", IF(ABS(ROUND(100/N32*O32-100,1))&lt;999,ROUND(100/N32*O32-100,1),IF(ROUND(100/N32*O32-100,1)&gt;999,999,-999)))</f>
        <v>12.5</v>
      </c>
      <c r="Q32" s="461">
        <v>-667.91836617000001</v>
      </c>
      <c r="R32" s="324">
        <v>-708.95224339999993</v>
      </c>
      <c r="S32" s="461">
        <f>IF(Q32=0, "    ---- ", IF(ABS(ROUND(100/Q32*R32-100,1))&lt;999,ROUND(100/Q32*R32-100,1),IF(ROUND(100/Q32*R32-100,1)&gt;999,999,-999)))</f>
        <v>6.1</v>
      </c>
      <c r="T32" s="461">
        <v>-33.5</v>
      </c>
      <c r="U32" s="324">
        <v>-44.9</v>
      </c>
      <c r="V32" s="461">
        <f>IF(T32=0, "    ---- ", IF(ABS(ROUND(100/T32*U32-100,1))&lt;999,ROUND(100/T32*U32-100,1),IF(ROUND(100/T32*U32-100,1)&gt;999,999,-999)))</f>
        <v>34</v>
      </c>
      <c r="W32" s="461">
        <v>-469</v>
      </c>
      <c r="X32" s="324">
        <v>-466</v>
      </c>
      <c r="Y32" s="461">
        <f>IF(W32=0, "    ---- ", IF(ABS(ROUND(100/W32*X32-100,1))&lt;999,ROUND(100/W32*X32-100,1),IF(ROUND(100/W32*X32-100,1)&gt;999,999,-999)))</f>
        <v>-0.6</v>
      </c>
      <c r="Z32" s="461">
        <v>-126</v>
      </c>
      <c r="AA32" s="324">
        <v>-116</v>
      </c>
      <c r="AB32" s="461">
        <f>IF(Z32=0, "    ---- ", IF(ABS(ROUND(100/Z32*AA32-100,1))&lt;999,ROUND(100/Z32*AA32-100,1),IF(ROUND(100/Z32*AA32-100,1)&gt;999,999,-999)))</f>
        <v>-7.9</v>
      </c>
      <c r="AC32" s="461">
        <v>-2</v>
      </c>
      <c r="AD32" s="324">
        <v>-2</v>
      </c>
      <c r="AE32" s="461">
        <f>IF(AC32=0, "    ---- ", IF(ABS(ROUND(100/AC32*AD32-100,1))&lt;999,ROUND(100/AC32*AD32-100,1),IF(ROUND(100/AC32*AD32-100,1)&gt;999,999,-999)))</f>
        <v>0</v>
      </c>
      <c r="AF32" s="461">
        <v>-29.068779149999997</v>
      </c>
      <c r="AG32" s="324"/>
      <c r="AH32" s="461">
        <f t="shared" si="15"/>
        <v>-100</v>
      </c>
      <c r="AI32" s="461">
        <v>-702.24521036219937</v>
      </c>
      <c r="AJ32" s="324">
        <v>-758.12452868940011</v>
      </c>
      <c r="AK32" s="461">
        <f>IF(AI32=0, "    ---- ", IF(ABS(ROUND(100/AI32*AJ32-100,1))&lt;999,ROUND(100/AI32*AJ32-100,1),IF(ROUND(100/AI32*AJ32-100,1)&gt;999,999,-999)))</f>
        <v>8</v>
      </c>
      <c r="AL32" s="461">
        <v>-991</v>
      </c>
      <c r="AM32" s="324">
        <v>-1030</v>
      </c>
      <c r="AN32" s="461">
        <f>IF(AL32=0, "    ---- ", IF(ABS(ROUND(100/AL32*AM32-100,1))&lt;999,ROUND(100/AL32*AM32-100,1),IF(ROUND(100/AL32*AM32-100,1)&gt;999,999,-999)))</f>
        <v>3.9</v>
      </c>
      <c r="AO32" s="461">
        <f t="shared" si="13"/>
        <v>-4446.5213556822</v>
      </c>
      <c r="AP32" s="461">
        <f t="shared" si="13"/>
        <v>-4553.6117720893999</v>
      </c>
      <c r="AQ32" s="461">
        <f t="shared" si="11"/>
        <v>2.4</v>
      </c>
      <c r="AR32" s="461"/>
      <c r="AS32" s="461"/>
      <c r="AT32" s="461"/>
    </row>
    <row r="33" spans="1:48" s="486" customFormat="1" ht="18.75" customHeight="1" x14ac:dyDescent="0.3">
      <c r="A33" s="458" t="s">
        <v>331</v>
      </c>
      <c r="B33" s="465"/>
      <c r="C33" s="485"/>
      <c r="D33" s="465"/>
      <c r="E33" s="465">
        <v>-8</v>
      </c>
      <c r="F33" s="485">
        <v>-7.476</v>
      </c>
      <c r="G33" s="465">
        <f>IF(E33=0, "    ---- ", IF(ABS(ROUND(100/E33*F33-100,1))&lt;999,ROUND(100/E33*F33-100,1),IF(ROUND(100/E33*F33-100,1)&gt;999,999,-999)))</f>
        <v>-6.6</v>
      </c>
      <c r="H33" s="465"/>
      <c r="I33" s="485"/>
      <c r="J33" s="465"/>
      <c r="K33" s="465"/>
      <c r="L33" s="485"/>
      <c r="M33" s="465"/>
      <c r="N33" s="465"/>
      <c r="O33" s="485"/>
      <c r="P33" s="465"/>
      <c r="Q33" s="465">
        <v>-689.86824200000001</v>
      </c>
      <c r="R33" s="485">
        <v>-730.04082300000005</v>
      </c>
      <c r="S33" s="465">
        <f>IF(Q33=0, "    ---- ", IF(ABS(ROUND(100/Q33*R33-100,1))&lt;999,ROUND(100/Q33*R33-100,1),IF(ROUND(100/Q33*R33-100,1)&gt;999,999,-999)))</f>
        <v>5.8</v>
      </c>
      <c r="T33" s="465">
        <v>-0.5</v>
      </c>
      <c r="U33" s="485">
        <v>-0.6</v>
      </c>
      <c r="V33" s="465">
        <f>IF(T33=0, "    ---- ", IF(ABS(ROUND(100/T33*U33-100,1))&lt;999,ROUND(100/T33*U33-100,1),IF(ROUND(100/T33*U33-100,1)&gt;999,999,-999)))</f>
        <v>20</v>
      </c>
      <c r="W33" s="465">
        <v>-6.9789730100005114</v>
      </c>
      <c r="X33" s="485">
        <v>-6.5839085599999994</v>
      </c>
      <c r="Y33" s="465">
        <f>IF(W33=0, "    ---- ", IF(ABS(ROUND(100/W33*X33-100,1))&lt;999,ROUND(100/W33*X33-100,1),IF(ROUND(100/W33*X33-100,1)&gt;999,999,-999)))</f>
        <v>-5.7</v>
      </c>
      <c r="Z33" s="465"/>
      <c r="AA33" s="485"/>
      <c r="AB33" s="465"/>
      <c r="AC33" s="465"/>
      <c r="AD33" s="485"/>
      <c r="AE33" s="465"/>
      <c r="AF33" s="465">
        <v>-2.0764627500000001</v>
      </c>
      <c r="AG33" s="485"/>
      <c r="AH33" s="465">
        <f t="shared" si="15"/>
        <v>-100</v>
      </c>
      <c r="AI33" s="465">
        <v>-9.8767798899999999</v>
      </c>
      <c r="AJ33" s="485">
        <v>-9.3855160400000006</v>
      </c>
      <c r="AK33" s="465">
        <f>IF(AI33=0, "    ---- ", IF(ABS(ROUND(100/AI33*AJ33-100,1))&lt;999,ROUND(100/AI33*AJ33-100,1),IF(ROUND(100/AI33*AJ33-100,1)&gt;999,999,-999)))</f>
        <v>-5</v>
      </c>
      <c r="AL33" s="465">
        <v>-383</v>
      </c>
      <c r="AM33" s="485">
        <v>-147</v>
      </c>
      <c r="AN33" s="465">
        <f>IF(AL33=0, "    ---- ", IF(ABS(ROUND(100/AL33*AM33-100,1))&lt;999,ROUND(100/AL33*AM33-100,1),IF(ROUND(100/AL33*AM33-100,1)&gt;999,999,-999)))</f>
        <v>-61.6</v>
      </c>
      <c r="AO33" s="465">
        <f t="shared" si="13"/>
        <v>-1100.3004576500005</v>
      </c>
      <c r="AP33" s="465">
        <f t="shared" si="13"/>
        <v>-901.08624760000009</v>
      </c>
      <c r="AQ33" s="465">
        <f t="shared" si="11"/>
        <v>-18.100000000000001</v>
      </c>
      <c r="AR33" s="465"/>
      <c r="AS33" s="465"/>
      <c r="AT33" s="465"/>
    </row>
    <row r="34" spans="1:48" s="491" customFormat="1" ht="18.75" customHeight="1" x14ac:dyDescent="0.3">
      <c r="A34" s="487" t="s">
        <v>332</v>
      </c>
      <c r="B34" s="488">
        <v>98.756999999999778</v>
      </c>
      <c r="C34" s="488">
        <f>SUM(C14+C15+C16+C17+C21+C29+C30+C31+C32+C33)</f>
        <v>91.541999999999888</v>
      </c>
      <c r="D34" s="489">
        <f>IF(B34=0, "    ---- ", IF(ABS(ROUND(100/B34*C34-100,1))&lt;999,ROUND(100/B34*C34-100,1),IF(ROUND(100/B34*C34-100,1)&gt;999,999,-999)))</f>
        <v>-7.3</v>
      </c>
      <c r="E34" s="488">
        <v>667.69999999999936</v>
      </c>
      <c r="F34" s="488">
        <f>SUM(F14+F15+F16+F17+F21+F29+F30+F31+F32+F33)</f>
        <v>908.66300000000035</v>
      </c>
      <c r="G34" s="489">
        <f>IF(E34=0, "    ---- ", IF(ABS(ROUND(100/E34*F34-100,1))&lt;999,ROUND(100/E34*F34-100,1),IF(ROUND(100/E34*F34-100,1)&gt;999,999,-999)))</f>
        <v>36.1</v>
      </c>
      <c r="H34" s="488">
        <v>87.537000000000148</v>
      </c>
      <c r="I34" s="488">
        <f>SUM(I14+I15+I16+I17+I21+I29+I30+I31+I32+I33)</f>
        <v>76.778999999999883</v>
      </c>
      <c r="J34" s="489">
        <f>IF(H34=0, "    ---- ", IF(ABS(ROUND(100/H34*I34-100,1))&lt;999,ROUND(100/H34*I34-100,1),IF(ROUND(100/H34*I34-100,1)&gt;999,999,-999)))</f>
        <v>-12.3</v>
      </c>
      <c r="K34" s="488">
        <f>SUM(K14+K15+K16+K17+K21+K29+K30+K31+K32+K33)</f>
        <v>84.017996000000323</v>
      </c>
      <c r="L34" s="488">
        <f>SUM(L14+L15+L16+L17+L21+L29+L30+L31+L32+L33)</f>
        <v>74.523999999999688</v>
      </c>
      <c r="M34" s="489">
        <f>IF(K34=0, "    ---- ", IF(ABS(ROUND(100/K34*L34-100,1))&lt;999,ROUND(100/K34*L34-100,1),IF(ROUND(100/K34*L34-100,1)&gt;999,999,-999)))</f>
        <v>-11.3</v>
      </c>
      <c r="N34" s="488">
        <v>8</v>
      </c>
      <c r="O34" s="488">
        <f>SUM(O14+O15+O16+O17+O21+O29+O30+O31+O32+O33)</f>
        <v>21</v>
      </c>
      <c r="P34" s="489">
        <f>IF(N34=0, "    ---- ", IF(ABS(ROUND(100/N34*O34-100,1))&lt;999,ROUND(100/N34*O34-100,1),IF(ROUND(100/N34*O34-100,1)&gt;999,999,-999)))</f>
        <v>162.5</v>
      </c>
      <c r="Q34" s="488">
        <v>1003.2215485700049</v>
      </c>
      <c r="R34" s="488">
        <f>SUM(R14+R15+R16+R17+R21+R29+R30+R31+R32+R33)</f>
        <v>1004.5454644000022</v>
      </c>
      <c r="S34" s="489">
        <f>IF(Q34=0, "    ---- ", IF(ABS(ROUND(100/Q34*R34-100,1))&lt;999,ROUND(100/Q34*R34-100,1),IF(ROUND(100/Q34*R34-100,1)&gt;999,999,-999)))</f>
        <v>0.1</v>
      </c>
      <c r="T34" s="490">
        <v>-16.899999999999988</v>
      </c>
      <c r="U34" s="488">
        <f>SUM(U14+U15+U16+U17+U21+U29+U30+U31+U32+U33)</f>
        <v>-28.999999999999932</v>
      </c>
      <c r="V34" s="489">
        <f>IF(T34=0, "    ---- ", IF(ABS(ROUND(100/T34*U34-100,1))&lt;999,ROUND(100/T34*U34-100,1),IF(ROUND(100/T34*U34-100,1)&gt;999,999,-999)))</f>
        <v>71.599999999999994</v>
      </c>
      <c r="W34" s="488">
        <v>430.42102698999912</v>
      </c>
      <c r="X34" s="488">
        <f>SUM(X14+X15+X16+X17+X21+X29+X30+X31+X32+X33)</f>
        <v>472.23469422000022</v>
      </c>
      <c r="Y34" s="489">
        <f>IF(W34=0, "    ---- ", IF(ABS(ROUND(100/W34*X34-100,1))&lt;999,ROUND(100/W34*X34-100,1),IF(ROUND(100/W34*X34-100,1)&gt;999,999,-999)))</f>
        <v>9.6999999999999993</v>
      </c>
      <c r="Z34" s="488">
        <v>310</v>
      </c>
      <c r="AA34" s="488">
        <f>SUM(AA14+AA15+AA16+AA17+AA21+AA29+AA30+AA31+AA32+AA33)</f>
        <v>510.09700000000066</v>
      </c>
      <c r="AB34" s="489">
        <f>IF(Z34=0, "    ---- ", IF(ABS(ROUND(100/Z34*AA34-100,1))&lt;999,ROUND(100/Z34*AA34-100,1),IF(ROUND(100/Z34*AA34-100,1)&gt;999,999,-999)))</f>
        <v>64.5</v>
      </c>
      <c r="AC34" s="490">
        <v>7</v>
      </c>
      <c r="AD34" s="488">
        <f>SUM(AD14+AD15+AD16+AD17+AD21+AD29+AD30+AD31+AD32+AD33)</f>
        <v>11</v>
      </c>
      <c r="AE34" s="489">
        <f>IF(AC34=0, "    ---- ", IF(ABS(ROUND(100/AC34*AD34-100,1))&lt;999,ROUND(100/AC34*AD34-100,1),IF(ROUND(100/AC34*AD34-100,1)&gt;999,999,-999)))</f>
        <v>57.1</v>
      </c>
      <c r="AF34" s="488">
        <v>-16.099950489999966</v>
      </c>
      <c r="AG34" s="488">
        <f>SUM(AG14+AG15+AG16+AG17+AG21+AG29+AG30+AG31+AG32+AG33)</f>
        <v>0</v>
      </c>
      <c r="AH34" s="489">
        <f t="shared" si="15"/>
        <v>-100</v>
      </c>
      <c r="AI34" s="488">
        <v>329.19054117779905</v>
      </c>
      <c r="AJ34" s="488">
        <f>SUM(AJ14+AJ15+AJ16+AJ17+AJ21+AJ29+AJ30+AJ31+AJ32+AJ33)</f>
        <v>385.01180143059736</v>
      </c>
      <c r="AK34" s="489">
        <f>IF(AI34=0, "    ---- ", IF(ABS(ROUND(100/AI34*AJ34-100,1))&lt;999,ROUND(100/AI34*AJ34-100,1),IF(ROUND(100/AI34*AJ34-100,1)&gt;999,999,-999)))</f>
        <v>17</v>
      </c>
      <c r="AL34" s="488">
        <v>729</v>
      </c>
      <c r="AM34" s="488">
        <f>SUM(AM14+AM15+AM16+AM17+AM21+AM29+AM30+AM31+AM32+AM33)</f>
        <v>959</v>
      </c>
      <c r="AN34" s="489">
        <f>IF(AL34=0, "    ---- ", IF(ABS(ROUND(100/AL34*AM34-100,1))&lt;999,ROUND(100/AL34*AM34-100,1),IF(ROUND(100/AL34*AM34-100,1)&gt;999,999,-999)))</f>
        <v>31.6</v>
      </c>
      <c r="AO34" s="489">
        <f>B34+E34+H34+K34+Q34+T34+W34+Z34+AF34+AI34+AL34</f>
        <v>3706.8451622478024</v>
      </c>
      <c r="AP34" s="489">
        <f t="shared" si="13"/>
        <v>4453.3969600505998</v>
      </c>
      <c r="AQ34" s="489">
        <f t="shared" si="11"/>
        <v>20.100000000000001</v>
      </c>
      <c r="AR34" s="489"/>
      <c r="AS34" s="489"/>
      <c r="AT34" s="489"/>
      <c r="AV34" s="468"/>
    </row>
    <row r="35" spans="1:48" s="491" customFormat="1" ht="18.75" customHeight="1" x14ac:dyDescent="0.3">
      <c r="A35" s="492"/>
      <c r="B35" s="493"/>
      <c r="C35" s="494"/>
      <c r="D35" s="495"/>
      <c r="E35" s="493"/>
      <c r="F35" s="494"/>
      <c r="G35" s="495"/>
      <c r="H35" s="493"/>
      <c r="I35" s="494"/>
      <c r="J35" s="495"/>
      <c r="K35" s="493"/>
      <c r="L35" s="494"/>
      <c r="M35" s="495"/>
      <c r="N35" s="496"/>
      <c r="O35" s="494"/>
      <c r="P35" s="495"/>
      <c r="Q35" s="493"/>
      <c r="R35" s="494"/>
      <c r="S35" s="495"/>
      <c r="T35" s="493"/>
      <c r="U35" s="494"/>
      <c r="V35" s="495"/>
      <c r="W35" s="493"/>
      <c r="X35" s="494"/>
      <c r="Y35" s="495"/>
      <c r="Z35" s="493"/>
      <c r="AA35" s="494"/>
      <c r="AB35" s="495"/>
      <c r="AC35" s="493"/>
      <c r="AD35" s="494"/>
      <c r="AE35" s="495"/>
      <c r="AF35" s="493"/>
      <c r="AG35" s="494"/>
      <c r="AH35" s="495"/>
      <c r="AI35" s="493"/>
      <c r="AJ35" s="494"/>
      <c r="AK35" s="497"/>
      <c r="AL35" s="493"/>
      <c r="AM35" s="494"/>
      <c r="AN35" s="497"/>
      <c r="AO35" s="497"/>
      <c r="AP35" s="497"/>
      <c r="AQ35" s="497"/>
      <c r="AR35" s="498"/>
      <c r="AS35" s="499"/>
      <c r="AT35" s="500"/>
    </row>
    <row r="36" spans="1:48" s="491" customFormat="1" ht="18.75" customHeight="1" x14ac:dyDescent="0.3">
      <c r="A36" s="446" t="s">
        <v>333</v>
      </c>
      <c r="B36" s="493"/>
      <c r="C36" s="494"/>
      <c r="D36" s="495"/>
      <c r="E36" s="493"/>
      <c r="F36" s="494"/>
      <c r="G36" s="495"/>
      <c r="H36" s="493"/>
      <c r="I36" s="494"/>
      <c r="J36" s="495"/>
      <c r="K36" s="493"/>
      <c r="L36" s="494"/>
      <c r="M36" s="495"/>
      <c r="N36" s="496"/>
      <c r="O36" s="494"/>
      <c r="P36" s="495"/>
      <c r="Q36" s="493"/>
      <c r="R36" s="494"/>
      <c r="S36" s="495"/>
      <c r="T36" s="493"/>
      <c r="U36" s="494"/>
      <c r="V36" s="495"/>
      <c r="W36" s="493"/>
      <c r="X36" s="494"/>
      <c r="Y36" s="495"/>
      <c r="Z36" s="493"/>
      <c r="AA36" s="494"/>
      <c r="AB36" s="495"/>
      <c r="AC36" s="493"/>
      <c r="AD36" s="494"/>
      <c r="AE36" s="495"/>
      <c r="AF36" s="493"/>
      <c r="AG36" s="494"/>
      <c r="AH36" s="495"/>
      <c r="AI36" s="493"/>
      <c r="AJ36" s="494"/>
      <c r="AK36" s="495"/>
      <c r="AL36" s="493"/>
      <c r="AM36" s="494"/>
      <c r="AN36" s="495"/>
      <c r="AO36" s="495"/>
      <c r="AP36" s="495"/>
      <c r="AQ36" s="495"/>
      <c r="AR36" s="501"/>
      <c r="AS36" s="502"/>
      <c r="AT36" s="503"/>
    </row>
    <row r="37" spans="1:48" s="507" customFormat="1" ht="18.75" customHeight="1" x14ac:dyDescent="0.3">
      <c r="A37" s="458" t="s">
        <v>334</v>
      </c>
      <c r="B37" s="504">
        <v>-1.0720000000000001</v>
      </c>
      <c r="C37" s="463">
        <v>0.14199999999999999</v>
      </c>
      <c r="D37" s="461">
        <f t="shared" ref="D37:D43" si="25">IF(B37=0, "    ---- ", IF(ABS(ROUND(100/B37*C37-100,1))&lt;999,ROUND(100/B37*C37-100,1),IF(ROUND(100/B37*C37-100,1)&gt;999,999,-999)))</f>
        <v>-113.2</v>
      </c>
      <c r="E37" s="504">
        <v>523.4</v>
      </c>
      <c r="F37" s="463">
        <v>758.21400000000006</v>
      </c>
      <c r="G37" s="461">
        <f t="shared" ref="G37:G44" si="26">IF(E37=0, "    ---- ", IF(ABS(ROUND(100/E37*F37-100,1))&lt;999,ROUND(100/E37*F37-100,1),IF(ROUND(100/E37*F37-100,1)&gt;999,999,-999)))</f>
        <v>44.9</v>
      </c>
      <c r="H37" s="504">
        <v>5.923</v>
      </c>
      <c r="I37" s="463">
        <v>7.8390000000000004</v>
      </c>
      <c r="J37" s="461">
        <f t="shared" ref="J37:J43" si="27">IF(H37=0, "    ---- ", IF(ABS(ROUND(100/H37*I37-100,1))&lt;999,ROUND(100/H37*I37-100,1),IF(ROUND(100/H37*I37-100,1)&gt;999,999,-999)))</f>
        <v>32.299999999999997</v>
      </c>
      <c r="K37" s="504">
        <v>6.0510000000000002</v>
      </c>
      <c r="L37" s="463">
        <v>1.226</v>
      </c>
      <c r="M37" s="461">
        <f t="shared" ref="M37:M43" si="28">IF(K37=0, "    ---- ", IF(ABS(ROUND(100/K37*L37-100,1))&lt;999,ROUND(100/K37*L37-100,1),IF(ROUND(100/K37*L37-100,1)&gt;999,999,-999)))</f>
        <v>-79.7</v>
      </c>
      <c r="N37" s="462">
        <v>1</v>
      </c>
      <c r="O37" s="505">
        <v>3</v>
      </c>
      <c r="P37" s="461">
        <f t="shared" ref="P37:P43" si="29">IF(N37=0, "    ---- ", IF(ABS(ROUND(100/N37*O37-100,1))&lt;999,ROUND(100/N37*O37-100,1),IF(ROUND(100/N37*O37-100,1)&gt;999,999,-999)))</f>
        <v>200</v>
      </c>
      <c r="Q37" s="504">
        <v>1159.9804807799999</v>
      </c>
      <c r="R37" s="463">
        <v>969.98372553000002</v>
      </c>
      <c r="S37" s="461">
        <f t="shared" ref="S37:S44" si="30">IF(Q37=0, "    ---- ", IF(ABS(ROUND(100/Q37*R37-100,1))&lt;999,ROUND(100/Q37*R37-100,1),IF(ROUND(100/Q37*R37-100,1)&gt;999,999,-999)))</f>
        <v>-16.399999999999999</v>
      </c>
      <c r="T37" s="504">
        <v>7.3</v>
      </c>
      <c r="U37" s="463">
        <v>6.6</v>
      </c>
      <c r="V37" s="461">
        <f t="shared" ref="V37:V44" si="31">IF(T37=0, "    ---- ", IF(ABS(ROUND(100/T37*U37-100,1))&lt;999,ROUND(100/T37*U37-100,1),IF(ROUND(100/T37*U37-100,1)&gt;999,999,-999)))</f>
        <v>-9.6</v>
      </c>
      <c r="W37" s="504">
        <v>65.099999999999994</v>
      </c>
      <c r="X37" s="463">
        <v>81</v>
      </c>
      <c r="Y37" s="461">
        <f t="shared" ref="Y37:Y44" si="32">IF(W37=0, "    ---- ", IF(ABS(ROUND(100/W37*X37-100,1))&lt;999,ROUND(100/W37*X37-100,1),IF(ROUND(100/W37*X37-100,1)&gt;999,999,-999)))</f>
        <v>24.4</v>
      </c>
      <c r="Z37" s="504">
        <v>280</v>
      </c>
      <c r="AA37" s="463">
        <v>360</v>
      </c>
      <c r="AB37" s="461">
        <f t="shared" ref="AB37:AB43" si="33">IF(Z37=0, "    ---- ", IF(ABS(ROUND(100/Z37*AA37-100,1))&lt;999,ROUND(100/Z37*AA37-100,1),IF(ROUND(100/Z37*AA37-100,1)&gt;999,999,-999)))</f>
        <v>28.6</v>
      </c>
      <c r="AC37" s="504"/>
      <c r="AD37" s="463"/>
      <c r="AE37" s="461"/>
      <c r="AF37" s="504">
        <v>3.4995902200000004</v>
      </c>
      <c r="AG37" s="463"/>
      <c r="AH37" s="461">
        <f t="shared" si="15"/>
        <v>-100</v>
      </c>
      <c r="AI37" s="504">
        <v>171.56490296999993</v>
      </c>
      <c r="AJ37" s="463">
        <v>172.15652681999998</v>
      </c>
      <c r="AK37" s="461">
        <f t="shared" ref="AK37:AK44" si="34">IF(AI37=0, "    ---- ", IF(ABS(ROUND(100/AI37*AJ37-100,1))&lt;999,ROUND(100/AI37*AJ37-100,1),IF(ROUND(100/AI37*AJ37-100,1)&gt;999,999,-999)))</f>
        <v>0.3</v>
      </c>
      <c r="AL37" s="504">
        <v>587.29999999999995</v>
      </c>
      <c r="AM37" s="463">
        <v>587.4</v>
      </c>
      <c r="AN37" s="461">
        <f t="shared" ref="AN37:AN44" si="35">IF(AL37=0, "    ---- ", IF(ABS(ROUND(100/AL37*AM37-100,1))&lt;999,ROUND(100/AL37*AM37-100,1),IF(ROUND(100/AL37*AM37-100,1)&gt;999,999,-999)))</f>
        <v>0</v>
      </c>
      <c r="AO37" s="461">
        <f t="shared" si="13"/>
        <v>2809.0469739699993</v>
      </c>
      <c r="AP37" s="461">
        <f t="shared" si="13"/>
        <v>2944.5612523500004</v>
      </c>
      <c r="AQ37" s="461">
        <f t="shared" si="11"/>
        <v>4.8</v>
      </c>
      <c r="AR37" s="464"/>
      <c r="AS37" s="506"/>
      <c r="AT37" s="473"/>
    </row>
    <row r="38" spans="1:48" s="507" customFormat="1" ht="18.75" customHeight="1" x14ac:dyDescent="0.3">
      <c r="A38" s="458" t="s">
        <v>335</v>
      </c>
      <c r="B38" s="504"/>
      <c r="C38" s="463"/>
      <c r="D38" s="461"/>
      <c r="E38" s="504">
        <v>21</v>
      </c>
      <c r="F38" s="463">
        <v>25.3</v>
      </c>
      <c r="G38" s="461">
        <f t="shared" si="26"/>
        <v>20.5</v>
      </c>
      <c r="H38" s="504">
        <v>3.2000000000000001E-2</v>
      </c>
      <c r="I38" s="463">
        <v>3.2000000000000001E-2</v>
      </c>
      <c r="J38" s="461">
        <f t="shared" si="27"/>
        <v>0</v>
      </c>
      <c r="K38" s="548">
        <f>61.55-61.55</f>
        <v>0</v>
      </c>
      <c r="L38" s="463"/>
      <c r="M38" s="461"/>
      <c r="N38" s="462"/>
      <c r="O38" s="463"/>
      <c r="P38" s="461"/>
      <c r="Q38" s="504">
        <v>-0.50680636999999995</v>
      </c>
      <c r="R38" s="463">
        <v>8.44577095</v>
      </c>
      <c r="S38" s="461">
        <f t="shared" si="30"/>
        <v>-999</v>
      </c>
      <c r="T38" s="504">
        <v>0.3</v>
      </c>
      <c r="U38" s="463">
        <v>0.5</v>
      </c>
      <c r="V38" s="461">
        <f t="shared" si="31"/>
        <v>66.7</v>
      </c>
      <c r="W38" s="504"/>
      <c r="X38" s="463"/>
      <c r="Y38" s="461"/>
      <c r="Z38" s="504">
        <v>5</v>
      </c>
      <c r="AA38" s="463">
        <v>6</v>
      </c>
      <c r="AB38" s="461">
        <f t="shared" si="33"/>
        <v>20</v>
      </c>
      <c r="AC38" s="504"/>
      <c r="AD38" s="463"/>
      <c r="AE38" s="461"/>
      <c r="AF38" s="504">
        <v>0.65030554000000007</v>
      </c>
      <c r="AG38" s="463"/>
      <c r="AH38" s="461">
        <f t="shared" si="15"/>
        <v>-100</v>
      </c>
      <c r="AI38" s="504">
        <v>101.74864398</v>
      </c>
      <c r="AJ38" s="463">
        <v>1.2070995500000001</v>
      </c>
      <c r="AK38" s="461">
        <f t="shared" si="34"/>
        <v>-98.8</v>
      </c>
      <c r="AL38" s="504">
        <v>18.399999999999999</v>
      </c>
      <c r="AM38" s="463">
        <v>15.2</v>
      </c>
      <c r="AN38" s="461">
        <f t="shared" si="35"/>
        <v>-17.399999999999999</v>
      </c>
      <c r="AO38" s="461">
        <f t="shared" si="13"/>
        <v>146.62414315000001</v>
      </c>
      <c r="AP38" s="461">
        <f t="shared" si="13"/>
        <v>56.684870500000002</v>
      </c>
      <c r="AQ38" s="461">
        <f t="shared" si="11"/>
        <v>-61.3</v>
      </c>
      <c r="AR38" s="461"/>
      <c r="AS38" s="508"/>
      <c r="AT38" s="461"/>
    </row>
    <row r="39" spans="1:48" s="507" customFormat="1" ht="18.75" customHeight="1" x14ac:dyDescent="0.3">
      <c r="A39" s="458" t="s">
        <v>336</v>
      </c>
      <c r="B39" s="504"/>
      <c r="C39" s="463"/>
      <c r="D39" s="461"/>
      <c r="E39" s="504">
        <v>-168.5</v>
      </c>
      <c r="F39" s="463">
        <v>-161.61099999999999</v>
      </c>
      <c r="G39" s="461">
        <f t="shared" si="26"/>
        <v>-4.0999999999999996</v>
      </c>
      <c r="H39" s="504"/>
      <c r="I39" s="463"/>
      <c r="J39" s="461"/>
      <c r="K39" s="504">
        <v>-1.5</v>
      </c>
      <c r="L39" s="463"/>
      <c r="M39" s="461">
        <f t="shared" si="28"/>
        <v>-100</v>
      </c>
      <c r="N39" s="462"/>
      <c r="O39" s="463"/>
      <c r="P39" s="461"/>
      <c r="Q39" s="504">
        <v>-304.38903850999998</v>
      </c>
      <c r="R39" s="463">
        <v>-286.48384570999997</v>
      </c>
      <c r="S39" s="461">
        <f t="shared" si="30"/>
        <v>-5.9</v>
      </c>
      <c r="T39" s="504">
        <v>-0.2</v>
      </c>
      <c r="U39" s="463">
        <v>-0.4</v>
      </c>
      <c r="V39" s="461">
        <f t="shared" si="31"/>
        <v>100</v>
      </c>
      <c r="W39" s="504">
        <v>-67</v>
      </c>
      <c r="X39" s="463">
        <v>-68</v>
      </c>
      <c r="Y39" s="461">
        <f t="shared" si="32"/>
        <v>1.5</v>
      </c>
      <c r="Z39" s="504">
        <v>-67</v>
      </c>
      <c r="AA39" s="463">
        <v>-67</v>
      </c>
      <c r="AB39" s="461">
        <f t="shared" si="33"/>
        <v>0</v>
      </c>
      <c r="AC39" s="504"/>
      <c r="AD39" s="463"/>
      <c r="AE39" s="461"/>
      <c r="AF39" s="504">
        <v>-5.1415200000000001E-3</v>
      </c>
      <c r="AG39" s="463"/>
      <c r="AH39" s="461">
        <f t="shared" si="15"/>
        <v>-100</v>
      </c>
      <c r="AI39" s="504">
        <v>-4.1903870178000009</v>
      </c>
      <c r="AJ39" s="463">
        <v>-45.823909820599994</v>
      </c>
      <c r="AK39" s="461">
        <f t="shared" si="34"/>
        <v>993.5</v>
      </c>
      <c r="AL39" s="504">
        <v>-257</v>
      </c>
      <c r="AM39" s="463">
        <v>-336</v>
      </c>
      <c r="AN39" s="461">
        <f t="shared" si="35"/>
        <v>30.7</v>
      </c>
      <c r="AO39" s="461">
        <f t="shared" si="13"/>
        <v>-869.78456704780001</v>
      </c>
      <c r="AP39" s="461">
        <f t="shared" si="13"/>
        <v>-965.3187555305999</v>
      </c>
      <c r="AQ39" s="461">
        <f t="shared" si="11"/>
        <v>11</v>
      </c>
      <c r="AR39" s="461"/>
      <c r="AS39" s="508"/>
      <c r="AT39" s="461"/>
    </row>
    <row r="40" spans="1:48" s="510" customFormat="1" ht="18.75" customHeight="1" x14ac:dyDescent="0.3">
      <c r="A40" s="492" t="s">
        <v>337</v>
      </c>
      <c r="B40" s="493">
        <v>-1.0720000000000001</v>
      </c>
      <c r="C40" s="494">
        <f>SUM(C37:C39)</f>
        <v>0.14199999999999999</v>
      </c>
      <c r="D40" s="495">
        <f t="shared" si="25"/>
        <v>-113.2</v>
      </c>
      <c r="E40" s="493">
        <v>375.9</v>
      </c>
      <c r="F40" s="494">
        <f>SUM(F37:F39)</f>
        <v>621.90300000000002</v>
      </c>
      <c r="G40" s="495">
        <f t="shared" si="26"/>
        <v>65.400000000000006</v>
      </c>
      <c r="H40" s="493">
        <v>5.9550000000000001</v>
      </c>
      <c r="I40" s="494">
        <f>SUM(I37:I39)</f>
        <v>7.8710000000000004</v>
      </c>
      <c r="J40" s="495">
        <f t="shared" si="27"/>
        <v>32.200000000000003</v>
      </c>
      <c r="K40" s="493">
        <v>66.100999999999999</v>
      </c>
      <c r="L40" s="494">
        <f>SUM(L37:L39)</f>
        <v>1.226</v>
      </c>
      <c r="M40" s="495">
        <f t="shared" si="28"/>
        <v>-98.1</v>
      </c>
      <c r="N40" s="496">
        <v>1</v>
      </c>
      <c r="O40" s="494">
        <f>SUM(O37:O39)</f>
        <v>3</v>
      </c>
      <c r="P40" s="495">
        <f t="shared" si="29"/>
        <v>200</v>
      </c>
      <c r="Q40" s="493">
        <v>855.08463589999985</v>
      </c>
      <c r="R40" s="494">
        <f>SUM(R37:R39)</f>
        <v>691.94565077000004</v>
      </c>
      <c r="S40" s="495">
        <f t="shared" si="30"/>
        <v>-19.100000000000001</v>
      </c>
      <c r="T40" s="493">
        <v>7.3999999999999995</v>
      </c>
      <c r="U40" s="494">
        <f>SUM(U37:U39)</f>
        <v>6.6999999999999993</v>
      </c>
      <c r="V40" s="495">
        <f t="shared" si="31"/>
        <v>-9.5</v>
      </c>
      <c r="W40" s="493">
        <v>-1.9000000000000057</v>
      </c>
      <c r="X40" s="494">
        <f>SUM(X37:X39)</f>
        <v>13</v>
      </c>
      <c r="Y40" s="495">
        <f t="shared" si="32"/>
        <v>-784.2</v>
      </c>
      <c r="Z40" s="493">
        <v>218</v>
      </c>
      <c r="AA40" s="494">
        <f>SUM(AA37:AA39)</f>
        <v>299</v>
      </c>
      <c r="AB40" s="495">
        <f t="shared" si="33"/>
        <v>37.200000000000003</v>
      </c>
      <c r="AC40" s="493">
        <v>0</v>
      </c>
      <c r="AD40" s="494">
        <f>SUM(AD37:AD39)</f>
        <v>0</v>
      </c>
      <c r="AE40" s="495"/>
      <c r="AF40" s="493">
        <v>4.144754240000001</v>
      </c>
      <c r="AG40" s="494">
        <f>SUM(AG37:AG39)</f>
        <v>0</v>
      </c>
      <c r="AH40" s="495">
        <f t="shared" si="15"/>
        <v>-100</v>
      </c>
      <c r="AI40" s="493">
        <v>269.12315993219994</v>
      </c>
      <c r="AJ40" s="494">
        <f>SUM(AJ37:AJ39)</f>
        <v>127.5397165494</v>
      </c>
      <c r="AK40" s="495">
        <f t="shared" si="34"/>
        <v>-52.6</v>
      </c>
      <c r="AL40" s="493">
        <v>348.69999999999993</v>
      </c>
      <c r="AM40" s="494">
        <f>SUM(AM37:AM39)</f>
        <v>266.60000000000002</v>
      </c>
      <c r="AN40" s="495">
        <f t="shared" si="35"/>
        <v>-23.5</v>
      </c>
      <c r="AO40" s="495">
        <f t="shared" si="13"/>
        <v>2147.4365500721997</v>
      </c>
      <c r="AP40" s="495">
        <f t="shared" si="13"/>
        <v>2035.9273673194002</v>
      </c>
      <c r="AQ40" s="495">
        <f t="shared" si="11"/>
        <v>-5.2</v>
      </c>
      <c r="AR40" s="495"/>
      <c r="AS40" s="509"/>
      <c r="AT40" s="495"/>
    </row>
    <row r="41" spans="1:48" s="510" customFormat="1" ht="18.75" customHeight="1" x14ac:dyDescent="0.3">
      <c r="A41" s="492" t="s">
        <v>338</v>
      </c>
      <c r="B41" s="493">
        <v>97.685000000000002</v>
      </c>
      <c r="C41" s="494">
        <f>C34+C40</f>
        <v>91.683999999999884</v>
      </c>
      <c r="D41" s="495">
        <f t="shared" si="25"/>
        <v>-6.1</v>
      </c>
      <c r="E41" s="493">
        <v>1043.5999999999995</v>
      </c>
      <c r="F41" s="494">
        <f>F34+F40</f>
        <v>1530.5660000000003</v>
      </c>
      <c r="G41" s="495">
        <f t="shared" si="26"/>
        <v>46.7</v>
      </c>
      <c r="H41" s="493">
        <v>93.492000000000147</v>
      </c>
      <c r="I41" s="494">
        <f>I34+I40</f>
        <v>84.649999999999878</v>
      </c>
      <c r="J41" s="495">
        <f t="shared" si="27"/>
        <v>-9.5</v>
      </c>
      <c r="K41" s="493">
        <v>88.568995999999913</v>
      </c>
      <c r="L41" s="494">
        <f>L34+L40</f>
        <v>75.749999999999687</v>
      </c>
      <c r="M41" s="495">
        <f t="shared" si="28"/>
        <v>-14.5</v>
      </c>
      <c r="N41" s="496">
        <v>9</v>
      </c>
      <c r="O41" s="494">
        <f>O34+O40</f>
        <v>24</v>
      </c>
      <c r="P41" s="495">
        <f t="shared" si="29"/>
        <v>166.7</v>
      </c>
      <c r="Q41" s="493">
        <v>1858.3061844700046</v>
      </c>
      <c r="R41" s="494">
        <f>R34+R40</f>
        <v>1696.4911151700021</v>
      </c>
      <c r="S41" s="495">
        <f t="shared" si="30"/>
        <v>-8.6999999999999993</v>
      </c>
      <c r="T41" s="493">
        <v>-9.4999999999999893</v>
      </c>
      <c r="U41" s="494">
        <f>U34+U40</f>
        <v>-22.299999999999933</v>
      </c>
      <c r="V41" s="495">
        <f t="shared" si="31"/>
        <v>134.69999999999999</v>
      </c>
      <c r="W41" s="493">
        <v>428.52102698999954</v>
      </c>
      <c r="X41" s="494">
        <f>X34+X40</f>
        <v>485.23469422000022</v>
      </c>
      <c r="Y41" s="495">
        <f t="shared" si="32"/>
        <v>13.2</v>
      </c>
      <c r="Z41" s="493">
        <v>528</v>
      </c>
      <c r="AA41" s="494">
        <f>AA34+AA40</f>
        <v>809.09700000000066</v>
      </c>
      <c r="AB41" s="495">
        <f t="shared" si="33"/>
        <v>53.2</v>
      </c>
      <c r="AC41" s="493">
        <v>7</v>
      </c>
      <c r="AD41" s="494">
        <f>AD34+AD40</f>
        <v>11</v>
      </c>
      <c r="AE41" s="495">
        <f>IF(AC41=0, "    ---- ", IF(ABS(ROUND(100/AC41*AD41-100,1))&lt;999,ROUND(100/AC41*AD41-100,1),IF(ROUND(100/AC41*AD41-100,1)&gt;999,999,-999)))</f>
        <v>57.1</v>
      </c>
      <c r="AF41" s="493">
        <v>-11.955196249999965</v>
      </c>
      <c r="AG41" s="494">
        <f>AG34+AG40</f>
        <v>0</v>
      </c>
      <c r="AH41" s="495">
        <f t="shared" si="15"/>
        <v>-100</v>
      </c>
      <c r="AI41" s="493">
        <v>598.31370110999899</v>
      </c>
      <c r="AJ41" s="494">
        <f>AJ34+AJ40</f>
        <v>512.55151797999736</v>
      </c>
      <c r="AK41" s="495">
        <f t="shared" si="34"/>
        <v>-14.3</v>
      </c>
      <c r="AL41" s="493">
        <v>1077.6999999999998</v>
      </c>
      <c r="AM41" s="494">
        <f>AM34+AM40</f>
        <v>1225.5999999999999</v>
      </c>
      <c r="AN41" s="495">
        <f t="shared" si="35"/>
        <v>13.7</v>
      </c>
      <c r="AO41" s="495">
        <f t="shared" si="13"/>
        <v>5792.7317123200028</v>
      </c>
      <c r="AP41" s="495">
        <f t="shared" si="13"/>
        <v>6489.3243273700009</v>
      </c>
      <c r="AQ41" s="495">
        <f t="shared" si="11"/>
        <v>12</v>
      </c>
      <c r="AR41" s="495"/>
      <c r="AS41" s="509"/>
      <c r="AT41" s="495"/>
    </row>
    <row r="42" spans="1:48" s="507" customFormat="1" ht="18.75" customHeight="1" x14ac:dyDescent="0.3">
      <c r="A42" s="458" t="s">
        <v>339</v>
      </c>
      <c r="B42" s="504">
        <v>-24.420999999999999</v>
      </c>
      <c r="C42" s="463">
        <v>-22.920999999999999</v>
      </c>
      <c r="D42" s="461">
        <f t="shared" si="25"/>
        <v>-6.1</v>
      </c>
      <c r="E42" s="504">
        <v>-177</v>
      </c>
      <c r="F42" s="463">
        <v>-35.945999999999998</v>
      </c>
      <c r="G42" s="461">
        <f t="shared" si="26"/>
        <v>-79.7</v>
      </c>
      <c r="H42" s="504">
        <v>-22.163</v>
      </c>
      <c r="I42" s="463">
        <v>-17.920000000000002</v>
      </c>
      <c r="J42" s="461">
        <f t="shared" si="27"/>
        <v>-19.100000000000001</v>
      </c>
      <c r="K42" s="504">
        <v>-22.142378999999998</v>
      </c>
      <c r="L42" s="463">
        <v>-18.937999999999999</v>
      </c>
      <c r="M42" s="461">
        <f t="shared" si="28"/>
        <v>-14.5</v>
      </c>
      <c r="N42" s="462">
        <v>-2</v>
      </c>
      <c r="O42" s="463">
        <v>-5</v>
      </c>
      <c r="P42" s="461">
        <f t="shared" si="29"/>
        <v>150</v>
      </c>
      <c r="Q42" s="504">
        <v>85.3510895</v>
      </c>
      <c r="R42" s="463">
        <v>-322.86606</v>
      </c>
      <c r="S42" s="461">
        <f>IF(Q42=0, "    ---- ", IF(ABS(ROUND(100/Q42*R42-100,1))&lt;999,ROUND(100/Q42*R42-100,1),IF(ROUND(100/Q42*R42-100,1)&gt;999,999,-999)))</f>
        <v>-478.3</v>
      </c>
      <c r="T42" s="504"/>
      <c r="U42" s="463"/>
      <c r="V42" s="461"/>
      <c r="W42" s="504">
        <v>-43.1</v>
      </c>
      <c r="X42" s="463">
        <v>0</v>
      </c>
      <c r="Y42" s="461">
        <f t="shared" si="32"/>
        <v>-100</v>
      </c>
      <c r="Z42" s="504">
        <v>-147</v>
      </c>
      <c r="AA42" s="463">
        <v>-242</v>
      </c>
      <c r="AB42" s="461">
        <f t="shared" si="33"/>
        <v>64.599999999999994</v>
      </c>
      <c r="AC42" s="504"/>
      <c r="AD42" s="463"/>
      <c r="AE42" s="461"/>
      <c r="AF42" s="504"/>
      <c r="AG42" s="463"/>
      <c r="AH42" s="461"/>
      <c r="AI42" s="504">
        <v>-140.95615599999999</v>
      </c>
      <c r="AJ42" s="463">
        <v>-125.28831321</v>
      </c>
      <c r="AK42" s="461">
        <f t="shared" si="34"/>
        <v>-11.1</v>
      </c>
      <c r="AL42" s="504">
        <v>-88</v>
      </c>
      <c r="AM42" s="463">
        <v>12.5</v>
      </c>
      <c r="AN42" s="461">
        <f t="shared" si="35"/>
        <v>-114.2</v>
      </c>
      <c r="AO42" s="461">
        <f t="shared" si="13"/>
        <v>-579.4314455</v>
      </c>
      <c r="AP42" s="461">
        <f t="shared" si="13"/>
        <v>-773.37937320999993</v>
      </c>
      <c r="AQ42" s="461">
        <f t="shared" si="11"/>
        <v>33.5</v>
      </c>
      <c r="AR42" s="461"/>
      <c r="AS42" s="508"/>
      <c r="AT42" s="461"/>
    </row>
    <row r="43" spans="1:48" s="510" customFormat="1" ht="18.75" customHeight="1" x14ac:dyDescent="0.3">
      <c r="A43" s="492" t="s">
        <v>340</v>
      </c>
      <c r="B43" s="493">
        <v>73.26400000000001</v>
      </c>
      <c r="C43" s="494">
        <f>C41+C42</f>
        <v>68.762999999999892</v>
      </c>
      <c r="D43" s="495">
        <f t="shared" si="25"/>
        <v>-6.1</v>
      </c>
      <c r="E43" s="493">
        <v>866.59999999999945</v>
      </c>
      <c r="F43" s="494">
        <f>F41+F42</f>
        <v>1494.6200000000003</v>
      </c>
      <c r="G43" s="495">
        <f t="shared" si="26"/>
        <v>72.5</v>
      </c>
      <c r="H43" s="493">
        <v>71.32900000000015</v>
      </c>
      <c r="I43" s="494">
        <f>I41+I42</f>
        <v>66.729999999999876</v>
      </c>
      <c r="J43" s="495">
        <f t="shared" si="27"/>
        <v>-6.4</v>
      </c>
      <c r="K43" s="493">
        <v>66.426616999999908</v>
      </c>
      <c r="L43" s="494">
        <f>L41+L42</f>
        <v>56.811999999999685</v>
      </c>
      <c r="M43" s="495">
        <f t="shared" si="28"/>
        <v>-14.5</v>
      </c>
      <c r="N43" s="496">
        <v>7</v>
      </c>
      <c r="O43" s="494">
        <f>O41+O42</f>
        <v>19</v>
      </c>
      <c r="P43" s="495">
        <f t="shared" si="29"/>
        <v>171.4</v>
      </c>
      <c r="Q43" s="493">
        <v>1943.6572739700046</v>
      </c>
      <c r="R43" s="494">
        <f>R41+R42</f>
        <v>1373.625055170002</v>
      </c>
      <c r="S43" s="495">
        <f t="shared" si="30"/>
        <v>-29.3</v>
      </c>
      <c r="T43" s="493">
        <v>-9.4999999999999893</v>
      </c>
      <c r="U43" s="494">
        <f>U41+U42</f>
        <v>-22.299999999999933</v>
      </c>
      <c r="V43" s="495">
        <f t="shared" si="31"/>
        <v>134.69999999999999</v>
      </c>
      <c r="W43" s="493">
        <v>385.42102698999952</v>
      </c>
      <c r="X43" s="494">
        <f>X41+X42</f>
        <v>485.23469422000022</v>
      </c>
      <c r="Y43" s="495">
        <f t="shared" si="32"/>
        <v>25.9</v>
      </c>
      <c r="Z43" s="493">
        <v>381</v>
      </c>
      <c r="AA43" s="494">
        <f>AA41+AA42</f>
        <v>567.09700000000066</v>
      </c>
      <c r="AB43" s="495">
        <f t="shared" si="33"/>
        <v>48.8</v>
      </c>
      <c r="AC43" s="493">
        <v>7</v>
      </c>
      <c r="AD43" s="494">
        <f>AD41+AD42</f>
        <v>11</v>
      </c>
      <c r="AE43" s="495">
        <f>IF(AC43=0, "    ---- ", IF(ABS(ROUND(100/AC43*AD43-100,1))&lt;999,ROUND(100/AC43*AD43-100,1),IF(ROUND(100/AC43*AD43-100,1)&gt;999,999,-999)))</f>
        <v>57.1</v>
      </c>
      <c r="AF43" s="493">
        <v>-11.955196249999965</v>
      </c>
      <c r="AG43" s="494">
        <f>AG41+AG42</f>
        <v>0</v>
      </c>
      <c r="AH43" s="495">
        <f t="shared" si="15"/>
        <v>-100</v>
      </c>
      <c r="AI43" s="493">
        <v>457.35754510999902</v>
      </c>
      <c r="AJ43" s="494">
        <f>AJ41+AJ42</f>
        <v>387.26320476999734</v>
      </c>
      <c r="AK43" s="495">
        <f t="shared" si="34"/>
        <v>-15.3</v>
      </c>
      <c r="AL43" s="493">
        <v>989.69999999999982</v>
      </c>
      <c r="AM43" s="494">
        <f>AM41+AM42</f>
        <v>1238.0999999999999</v>
      </c>
      <c r="AN43" s="495">
        <f t="shared" si="35"/>
        <v>25.1</v>
      </c>
      <c r="AO43" s="495">
        <f t="shared" si="13"/>
        <v>5213.3002668200024</v>
      </c>
      <c r="AP43" s="495">
        <f t="shared" si="13"/>
        <v>5715.9449541600006</v>
      </c>
      <c r="AQ43" s="495">
        <f t="shared" si="11"/>
        <v>9.6</v>
      </c>
      <c r="AR43" s="495"/>
      <c r="AS43" s="509"/>
      <c r="AT43" s="495"/>
    </row>
    <row r="44" spans="1:48" s="507" customFormat="1" ht="18.75" customHeight="1" x14ac:dyDescent="0.3">
      <c r="A44" s="458" t="s">
        <v>341</v>
      </c>
      <c r="B44" s="504"/>
      <c r="C44" s="463"/>
      <c r="D44" s="461"/>
      <c r="E44" s="504">
        <v>-17</v>
      </c>
      <c r="F44" s="463"/>
      <c r="G44" s="461">
        <f t="shared" si="26"/>
        <v>-100</v>
      </c>
      <c r="H44" s="504"/>
      <c r="I44" s="463"/>
      <c r="J44" s="461"/>
      <c r="K44" s="504"/>
      <c r="L44" s="463"/>
      <c r="M44" s="461"/>
      <c r="N44" s="462"/>
      <c r="O44" s="463"/>
      <c r="P44" s="461"/>
      <c r="Q44" s="504">
        <v>-66.300451500000008</v>
      </c>
      <c r="R44" s="463">
        <v>-79.072822000000002</v>
      </c>
      <c r="S44" s="461">
        <f t="shared" si="30"/>
        <v>19.3</v>
      </c>
      <c r="T44" s="504">
        <v>-1.2</v>
      </c>
      <c r="U44" s="463">
        <v>-1.3</v>
      </c>
      <c r="V44" s="461">
        <f t="shared" si="31"/>
        <v>8.3000000000000007</v>
      </c>
      <c r="W44" s="504">
        <v>-4</v>
      </c>
      <c r="X44" s="463">
        <v>0</v>
      </c>
      <c r="Y44" s="461">
        <f t="shared" si="32"/>
        <v>-100</v>
      </c>
      <c r="Z44" s="504"/>
      <c r="AA44" s="463"/>
      <c r="AB44" s="461"/>
      <c r="AC44" s="504"/>
      <c r="AD44" s="463"/>
      <c r="AE44" s="461"/>
      <c r="AF44" s="504"/>
      <c r="AG44" s="463"/>
      <c r="AH44" s="461"/>
      <c r="AI44" s="504">
        <v>-85.713738030000002</v>
      </c>
      <c r="AJ44" s="463">
        <v>7.4491660099999999</v>
      </c>
      <c r="AK44" s="461">
        <f t="shared" si="34"/>
        <v>-108.7</v>
      </c>
      <c r="AL44" s="504">
        <v>-50</v>
      </c>
      <c r="AM44" s="463">
        <v>-2</v>
      </c>
      <c r="AN44" s="461">
        <f t="shared" si="35"/>
        <v>-96</v>
      </c>
      <c r="AO44" s="461">
        <f t="shared" si="13"/>
        <v>-224.21418953</v>
      </c>
      <c r="AP44" s="461">
        <f t="shared" si="13"/>
        <v>-74.92365599</v>
      </c>
      <c r="AQ44" s="461">
        <f t="shared" si="11"/>
        <v>-66.599999999999994</v>
      </c>
      <c r="AR44" s="461"/>
      <c r="AS44" s="508"/>
      <c r="AT44" s="461"/>
    </row>
    <row r="45" spans="1:48" s="510" customFormat="1" ht="18.75" customHeight="1" x14ac:dyDescent="0.3">
      <c r="A45" s="487" t="s">
        <v>342</v>
      </c>
      <c r="B45" s="511">
        <v>73.26400000000001</v>
      </c>
      <c r="C45" s="512">
        <f>C43+C44</f>
        <v>68.762999999999892</v>
      </c>
      <c r="D45" s="489">
        <f>IF(B45=0, "    ---- ", IF(ABS(ROUND(100/B45*C45-100,1))&lt;999,ROUND(100/B45*C45-100,1),IF(ROUND(100/B45*C45-100,1)&gt;999,999,-999)))</f>
        <v>-6.1</v>
      </c>
      <c r="E45" s="489">
        <v>849.59999999999945</v>
      </c>
      <c r="F45" s="512">
        <f>F43+F44</f>
        <v>1494.6200000000003</v>
      </c>
      <c r="G45" s="489">
        <f>IF(E45=0, "    ---- ", IF(ABS(ROUND(100/E45*F45-100,1))&lt;999,ROUND(100/E45*F45-100,1),IF(ROUND(100/E45*F45-100,1)&gt;999,999,-999)))</f>
        <v>75.900000000000006</v>
      </c>
      <c r="H45" s="511">
        <v>71.32900000000015</v>
      </c>
      <c r="I45" s="512">
        <f>I43+I44</f>
        <v>66.729999999999876</v>
      </c>
      <c r="J45" s="489">
        <f>IF(H45=0, "    ---- ", IF(ABS(ROUND(100/H45*I45-100,1))&lt;999,ROUND(100/H45*I45-100,1),IF(ROUND(100/H45*I45-100,1)&gt;999,999,-999)))</f>
        <v>-6.4</v>
      </c>
      <c r="K45" s="512">
        <f>K43+K44</f>
        <v>66.426616999999908</v>
      </c>
      <c r="L45" s="512">
        <f>L43+L44</f>
        <v>56.811999999999685</v>
      </c>
      <c r="M45" s="489">
        <f>IF(K45=0, "    ---- ", IF(ABS(ROUND(100/K45*L45-100,1))&lt;999,ROUND(100/K45*L45-100,1),IF(ROUND(100/K45*L45-100,1)&gt;999,999,-999)))</f>
        <v>-14.5</v>
      </c>
      <c r="N45" s="513">
        <v>7</v>
      </c>
      <c r="O45" s="512">
        <f>O43+O44</f>
        <v>19</v>
      </c>
      <c r="P45" s="489">
        <f>IF(N45=0, "    ---- ", IF(ABS(ROUND(100/N45*O45-100,1))&lt;999,ROUND(100/N45*O45-100,1),IF(ROUND(100/N45*O45-100,1)&gt;999,999,-999)))</f>
        <v>171.4</v>
      </c>
      <c r="Q45" s="511">
        <v>1877.3568224700045</v>
      </c>
      <c r="R45" s="512">
        <f>R43+R44</f>
        <v>1294.552233170002</v>
      </c>
      <c r="S45" s="489">
        <f>IF(Q45=0, "    ---- ", IF(ABS(ROUND(100/Q45*R45-100,1))&lt;999,ROUND(100/Q45*R45-100,1),IF(ROUND(100/Q45*R45-100,1)&gt;999,999,-999)))</f>
        <v>-31</v>
      </c>
      <c r="T45" s="511">
        <v>-10.699999999999989</v>
      </c>
      <c r="U45" s="512">
        <f>U43+U44</f>
        <v>-23.599999999999934</v>
      </c>
      <c r="V45" s="489">
        <f>IF(T45=0, "    ---- ", IF(ABS(ROUND(100/T45*U45-100,1))&lt;999,ROUND(100/T45*U45-100,1),IF(ROUND(100/T45*U45-100,1)&gt;999,999,-999)))</f>
        <v>120.6</v>
      </c>
      <c r="W45" s="511">
        <v>381.42102698999952</v>
      </c>
      <c r="X45" s="512">
        <f>X43+X44</f>
        <v>485.23469422000022</v>
      </c>
      <c r="Y45" s="489">
        <f>IF(W45=0, "    ---- ", IF(ABS(ROUND(100/W45*X45-100,1))&lt;999,ROUND(100/W45*X45-100,1),IF(ROUND(100/W45*X45-100,1)&gt;999,999,-999)))</f>
        <v>27.2</v>
      </c>
      <c r="Z45" s="511">
        <v>381</v>
      </c>
      <c r="AA45" s="512">
        <f>AA43+AA44</f>
        <v>567.09700000000066</v>
      </c>
      <c r="AB45" s="489">
        <f>IF(Z45=0, "    ---- ", IF(ABS(ROUND(100/Z45*AA45-100,1))&lt;999,ROUND(100/Z45*AA45-100,1),IF(ROUND(100/Z45*AA45-100,1)&gt;999,999,-999)))</f>
        <v>48.8</v>
      </c>
      <c r="AC45" s="511">
        <v>7</v>
      </c>
      <c r="AD45" s="512">
        <f>AD43+AD44</f>
        <v>11</v>
      </c>
      <c r="AE45" s="489">
        <f>IF(AC45=0, "    ---- ", IF(ABS(ROUND(100/AC45*AD45-100,1))&lt;999,ROUND(100/AC45*AD45-100,1),IF(ROUND(100/AC45*AD45-100,1)&gt;999,999,-999)))</f>
        <v>57.1</v>
      </c>
      <c r="AF45" s="511">
        <v>-11.955196249999965</v>
      </c>
      <c r="AG45" s="512">
        <f>AG43+AG44</f>
        <v>0</v>
      </c>
      <c r="AH45" s="489">
        <f t="shared" si="15"/>
        <v>-100</v>
      </c>
      <c r="AI45" s="511">
        <v>371.64380707999902</v>
      </c>
      <c r="AJ45" s="512">
        <f>AJ43+AJ44</f>
        <v>394.71237077999734</v>
      </c>
      <c r="AK45" s="489">
        <f>IF(AI45=0, "    ---- ", IF(ABS(ROUND(100/AI45*AJ45-100,1))&lt;999,ROUND(100/AI45*AJ45-100,1),IF(ROUND(100/AI45*AJ45-100,1)&gt;999,999,-999)))</f>
        <v>6.2</v>
      </c>
      <c r="AL45" s="511">
        <v>939.69999999999982</v>
      </c>
      <c r="AM45" s="512">
        <f>AM43+AM44</f>
        <v>1236.0999999999999</v>
      </c>
      <c r="AN45" s="489">
        <f>IF(AL45=0, "    ---- ", IF(ABS(ROUND(100/AL45*AM45-100,1))&lt;999,ROUND(100/AL45*AM45-100,1),IF(ROUND(100/AL45*AM45-100,1)&gt;999,999,-999)))</f>
        <v>31.5</v>
      </c>
      <c r="AO45" s="489">
        <f t="shared" si="13"/>
        <v>4989.0860772900032</v>
      </c>
      <c r="AP45" s="489">
        <f t="shared" si="13"/>
        <v>5641.0212981699988</v>
      </c>
      <c r="AQ45" s="489">
        <f t="shared" si="11"/>
        <v>13.1</v>
      </c>
      <c r="AR45" s="514"/>
      <c r="AS45" s="515"/>
      <c r="AT45" s="516"/>
      <c r="AV45" s="468"/>
    </row>
    <row r="46" spans="1:48" s="510" customFormat="1" ht="18.75" customHeight="1" x14ac:dyDescent="0.3">
      <c r="A46" s="517"/>
      <c r="B46" s="518"/>
      <c r="C46" s="519"/>
      <c r="D46" s="520"/>
      <c r="E46" s="518"/>
      <c r="F46" s="519"/>
      <c r="G46" s="497"/>
      <c r="H46" s="518"/>
      <c r="I46" s="519"/>
      <c r="J46" s="497"/>
      <c r="K46" s="518"/>
      <c r="L46" s="519"/>
      <c r="M46" s="520"/>
      <c r="N46" s="518"/>
      <c r="O46" s="519"/>
      <c r="P46" s="497"/>
      <c r="Q46" s="518"/>
      <c r="R46" s="519"/>
      <c r="S46" s="497"/>
      <c r="T46" s="518"/>
      <c r="U46" s="519"/>
      <c r="V46" s="497"/>
      <c r="W46" s="518"/>
      <c r="X46" s="519"/>
      <c r="Y46" s="497"/>
      <c r="Z46" s="518"/>
      <c r="AA46" s="519"/>
      <c r="AB46" s="497"/>
      <c r="AC46" s="518"/>
      <c r="AD46" s="519"/>
      <c r="AE46" s="497"/>
      <c r="AF46" s="518"/>
      <c r="AG46" s="519"/>
      <c r="AH46" s="497"/>
      <c r="AI46" s="518"/>
      <c r="AJ46" s="519"/>
      <c r="AK46" s="497"/>
      <c r="AL46" s="518"/>
      <c r="AM46" s="519"/>
      <c r="AN46" s="497"/>
      <c r="AO46" s="520"/>
      <c r="AP46" s="520"/>
      <c r="AQ46" s="497"/>
      <c r="AR46" s="521"/>
      <c r="AS46" s="521"/>
      <c r="AT46" s="522"/>
    </row>
    <row r="47" spans="1:48" s="528" customFormat="1" ht="18.75" customHeight="1" x14ac:dyDescent="0.3">
      <c r="A47" s="523" t="s">
        <v>343</v>
      </c>
      <c r="B47" s="524"/>
      <c r="C47" s="525"/>
      <c r="D47" s="524"/>
      <c r="E47" s="526"/>
      <c r="F47" s="525"/>
      <c r="G47" s="524"/>
      <c r="H47" s="526"/>
      <c r="I47" s="525"/>
      <c r="J47" s="524"/>
      <c r="K47" s="526"/>
      <c r="L47" s="525"/>
      <c r="M47" s="524"/>
      <c r="N47" s="526"/>
      <c r="O47" s="525"/>
      <c r="P47" s="524"/>
      <c r="Q47" s="526"/>
      <c r="R47" s="525"/>
      <c r="S47" s="524"/>
      <c r="T47" s="526"/>
      <c r="U47" s="525"/>
      <c r="V47" s="524"/>
      <c r="W47" s="526"/>
      <c r="X47" s="525"/>
      <c r="Y47" s="524"/>
      <c r="Z47" s="526"/>
      <c r="AA47" s="525"/>
      <c r="AB47" s="524"/>
      <c r="AC47" s="526"/>
      <c r="AD47" s="525"/>
      <c r="AE47" s="524"/>
      <c r="AF47" s="526"/>
      <c r="AG47" s="525"/>
      <c r="AH47" s="524"/>
      <c r="AI47" s="526"/>
      <c r="AJ47" s="525"/>
      <c r="AK47" s="524"/>
      <c r="AL47" s="526"/>
      <c r="AM47" s="525"/>
      <c r="AN47" s="524"/>
      <c r="AO47" s="527"/>
      <c r="AP47" s="527"/>
      <c r="AQ47" s="524"/>
      <c r="AR47" s="524"/>
      <c r="AS47" s="524"/>
      <c r="AT47" s="524"/>
    </row>
    <row r="48" spans="1:48" s="533" customFormat="1" ht="18.75" customHeight="1" x14ac:dyDescent="0.3">
      <c r="A48" s="529" t="s">
        <v>344</v>
      </c>
      <c r="B48" s="530"/>
      <c r="C48" s="529"/>
      <c r="D48" s="530"/>
      <c r="E48" s="531"/>
      <c r="F48" s="529"/>
      <c r="G48" s="530"/>
      <c r="H48" s="531"/>
      <c r="I48" s="529"/>
      <c r="J48" s="530"/>
      <c r="K48" s="531"/>
      <c r="L48" s="529"/>
      <c r="M48" s="530"/>
      <c r="N48" s="531"/>
      <c r="O48" s="529"/>
      <c r="P48" s="530"/>
      <c r="Q48" s="531"/>
      <c r="R48" s="529"/>
      <c r="S48" s="530"/>
      <c r="T48" s="531"/>
      <c r="U48" s="529"/>
      <c r="V48" s="530"/>
      <c r="W48" s="531"/>
      <c r="X48" s="529"/>
      <c r="Y48" s="530"/>
      <c r="Z48" s="531"/>
      <c r="AA48" s="529"/>
      <c r="AB48" s="530"/>
      <c r="AC48" s="531"/>
      <c r="AD48" s="529"/>
      <c r="AE48" s="530"/>
      <c r="AF48" s="531"/>
      <c r="AG48" s="529"/>
      <c r="AH48" s="530"/>
      <c r="AI48" s="531"/>
      <c r="AJ48" s="529"/>
      <c r="AK48" s="530"/>
      <c r="AL48" s="531"/>
      <c r="AM48" s="529"/>
      <c r="AN48" s="530"/>
      <c r="AO48" s="532"/>
      <c r="AP48" s="532"/>
      <c r="AQ48" s="530"/>
      <c r="AR48" s="530"/>
      <c r="AS48" s="530"/>
      <c r="AT48" s="530"/>
    </row>
    <row r="49" spans="1:46" s="533" customFormat="1" ht="18.75" customHeight="1" x14ac:dyDescent="0.3">
      <c r="A49" s="529" t="s">
        <v>345</v>
      </c>
      <c r="B49" s="530"/>
      <c r="C49" s="529"/>
      <c r="D49" s="530"/>
      <c r="E49" s="531"/>
      <c r="F49" s="529"/>
      <c r="G49" s="530"/>
      <c r="H49" s="531"/>
      <c r="I49" s="529"/>
      <c r="J49" s="530"/>
      <c r="K49" s="531"/>
      <c r="L49" s="529"/>
      <c r="M49" s="530"/>
      <c r="N49" s="531"/>
      <c r="O49" s="529"/>
      <c r="P49" s="530"/>
      <c r="Q49" s="531"/>
      <c r="R49" s="529"/>
      <c r="S49" s="530"/>
      <c r="T49" s="531"/>
      <c r="U49" s="529"/>
      <c r="V49" s="530"/>
      <c r="W49" s="531"/>
      <c r="X49" s="529"/>
      <c r="Y49" s="530"/>
      <c r="Z49" s="531"/>
      <c r="AA49" s="529"/>
      <c r="AB49" s="530"/>
      <c r="AC49" s="531"/>
      <c r="AD49" s="529"/>
      <c r="AE49" s="530"/>
      <c r="AF49" s="531"/>
      <c r="AG49" s="529"/>
      <c r="AH49" s="530"/>
      <c r="AI49" s="531"/>
      <c r="AJ49" s="529"/>
      <c r="AK49" s="530"/>
      <c r="AL49" s="531"/>
      <c r="AM49" s="529"/>
      <c r="AN49" s="530"/>
      <c r="AO49" s="532"/>
      <c r="AP49" s="532"/>
      <c r="AQ49" s="530"/>
      <c r="AR49" s="530"/>
      <c r="AS49" s="530"/>
      <c r="AT49" s="530"/>
    </row>
    <row r="50" spans="1:46" s="533" customFormat="1" ht="18.75" customHeight="1" x14ac:dyDescent="0.3">
      <c r="A50" s="529" t="s">
        <v>346</v>
      </c>
      <c r="B50" s="530"/>
      <c r="C50" s="529"/>
      <c r="D50" s="530"/>
      <c r="E50" s="531"/>
      <c r="F50" s="529"/>
      <c r="G50" s="530"/>
      <c r="H50" s="531"/>
      <c r="I50" s="529"/>
      <c r="J50" s="530"/>
      <c r="K50" s="531"/>
      <c r="L50" s="529"/>
      <c r="M50" s="530"/>
      <c r="N50" s="531"/>
      <c r="O50" s="529"/>
      <c r="P50" s="530"/>
      <c r="Q50" s="531"/>
      <c r="R50" s="529"/>
      <c r="S50" s="530"/>
      <c r="T50" s="531"/>
      <c r="U50" s="529"/>
      <c r="V50" s="530"/>
      <c r="W50" s="531"/>
      <c r="X50" s="529"/>
      <c r="Y50" s="530"/>
      <c r="Z50" s="531"/>
      <c r="AA50" s="529"/>
      <c r="AB50" s="530"/>
      <c r="AC50" s="531"/>
      <c r="AD50" s="529"/>
      <c r="AE50" s="530"/>
      <c r="AF50" s="531"/>
      <c r="AG50" s="529"/>
      <c r="AH50" s="530"/>
      <c r="AI50" s="531"/>
      <c r="AJ50" s="529"/>
      <c r="AK50" s="530"/>
      <c r="AL50" s="531"/>
      <c r="AM50" s="529"/>
      <c r="AN50" s="530"/>
      <c r="AO50" s="532"/>
      <c r="AP50" s="532"/>
      <c r="AQ50" s="530"/>
      <c r="AR50" s="530"/>
      <c r="AS50" s="530"/>
      <c r="AT50" s="530"/>
    </row>
    <row r="51" spans="1:46" s="533" customFormat="1" ht="18.75" customHeight="1" x14ac:dyDescent="0.3">
      <c r="A51" s="529" t="s">
        <v>347</v>
      </c>
      <c r="B51" s="530"/>
      <c r="C51" s="529"/>
      <c r="D51" s="530"/>
      <c r="E51" s="531"/>
      <c r="F51" s="529"/>
      <c r="G51" s="530"/>
      <c r="H51" s="531"/>
      <c r="I51" s="529"/>
      <c r="J51" s="530"/>
      <c r="K51" s="531"/>
      <c r="L51" s="529"/>
      <c r="M51" s="530"/>
      <c r="N51" s="531"/>
      <c r="O51" s="529"/>
      <c r="P51" s="530"/>
      <c r="Q51" s="531"/>
      <c r="R51" s="529"/>
      <c r="S51" s="530"/>
      <c r="T51" s="531"/>
      <c r="U51" s="529"/>
      <c r="V51" s="530"/>
      <c r="W51" s="531"/>
      <c r="X51" s="529"/>
      <c r="Y51" s="530"/>
      <c r="Z51" s="531"/>
      <c r="AA51" s="529"/>
      <c r="AB51" s="530"/>
      <c r="AC51" s="531"/>
      <c r="AD51" s="529"/>
      <c r="AE51" s="530"/>
      <c r="AF51" s="531"/>
      <c r="AG51" s="529"/>
      <c r="AH51" s="530"/>
      <c r="AI51" s="531"/>
      <c r="AJ51" s="529"/>
      <c r="AK51" s="530"/>
      <c r="AL51" s="531"/>
      <c r="AM51" s="529"/>
      <c r="AN51" s="530"/>
      <c r="AO51" s="532"/>
      <c r="AP51" s="532"/>
      <c r="AQ51" s="530"/>
      <c r="AR51" s="530"/>
      <c r="AS51" s="530"/>
      <c r="AT51" s="530"/>
    </row>
    <row r="52" spans="1:46" s="533" customFormat="1" ht="18.75" customHeight="1" x14ac:dyDescent="0.3">
      <c r="A52" s="529" t="s">
        <v>348</v>
      </c>
      <c r="B52" s="530"/>
      <c r="C52" s="529"/>
      <c r="D52" s="530"/>
      <c r="E52" s="531"/>
      <c r="F52" s="529"/>
      <c r="G52" s="530"/>
      <c r="H52" s="531"/>
      <c r="I52" s="529"/>
      <c r="J52" s="530"/>
      <c r="K52" s="531"/>
      <c r="L52" s="529"/>
      <c r="M52" s="530"/>
      <c r="N52" s="531"/>
      <c r="O52" s="529"/>
      <c r="P52" s="530"/>
      <c r="Q52" s="531"/>
      <c r="R52" s="529"/>
      <c r="S52" s="530"/>
      <c r="T52" s="531"/>
      <c r="U52" s="529"/>
      <c r="V52" s="530"/>
      <c r="W52" s="531"/>
      <c r="X52" s="529"/>
      <c r="Y52" s="530"/>
      <c r="Z52" s="531"/>
      <c r="AA52" s="529"/>
      <c r="AB52" s="530"/>
      <c r="AC52" s="531"/>
      <c r="AD52" s="529"/>
      <c r="AE52" s="530"/>
      <c r="AF52" s="531"/>
      <c r="AG52" s="529"/>
      <c r="AH52" s="530"/>
      <c r="AI52" s="531"/>
      <c r="AJ52" s="529"/>
      <c r="AK52" s="530"/>
      <c r="AL52" s="531"/>
      <c r="AM52" s="529"/>
      <c r="AN52" s="530"/>
      <c r="AO52" s="532"/>
      <c r="AP52" s="532"/>
      <c r="AQ52" s="530"/>
      <c r="AR52" s="530"/>
      <c r="AS52" s="530"/>
      <c r="AT52" s="530"/>
    </row>
    <row r="53" spans="1:46" s="533" customFormat="1" ht="18.75" customHeight="1" x14ac:dyDescent="0.3">
      <c r="A53" s="529" t="s">
        <v>349</v>
      </c>
      <c r="B53" s="530"/>
      <c r="C53" s="529"/>
      <c r="D53" s="530"/>
      <c r="E53" s="531"/>
      <c r="F53" s="529"/>
      <c r="G53" s="530"/>
      <c r="H53" s="531"/>
      <c r="I53" s="529"/>
      <c r="J53" s="530"/>
      <c r="K53" s="531"/>
      <c r="L53" s="529"/>
      <c r="M53" s="530"/>
      <c r="N53" s="531"/>
      <c r="O53" s="529"/>
      <c r="P53" s="530"/>
      <c r="Q53" s="531"/>
      <c r="R53" s="529"/>
      <c r="S53" s="530"/>
      <c r="T53" s="531"/>
      <c r="U53" s="529"/>
      <c r="V53" s="530"/>
      <c r="W53" s="531"/>
      <c r="X53" s="529"/>
      <c r="Y53" s="530"/>
      <c r="Z53" s="531"/>
      <c r="AA53" s="529"/>
      <c r="AB53" s="530"/>
      <c r="AC53" s="531"/>
      <c r="AD53" s="529"/>
      <c r="AE53" s="530"/>
      <c r="AF53" s="531"/>
      <c r="AG53" s="529"/>
      <c r="AH53" s="530"/>
      <c r="AI53" s="531"/>
      <c r="AJ53" s="529"/>
      <c r="AK53" s="530"/>
      <c r="AL53" s="531"/>
      <c r="AM53" s="529"/>
      <c r="AN53" s="530"/>
      <c r="AO53" s="532"/>
      <c r="AP53" s="532"/>
      <c r="AQ53" s="530"/>
      <c r="AR53" s="530"/>
      <c r="AS53" s="530"/>
      <c r="AT53" s="530"/>
    </row>
    <row r="54" spans="1:46" s="533" customFormat="1" ht="18.75" customHeight="1" x14ac:dyDescent="0.3">
      <c r="A54" s="529" t="s">
        <v>350</v>
      </c>
      <c r="B54" s="530"/>
      <c r="C54" s="529"/>
      <c r="D54" s="530"/>
      <c r="E54" s="531"/>
      <c r="F54" s="529"/>
      <c r="G54" s="530"/>
      <c r="H54" s="531"/>
      <c r="I54" s="529"/>
      <c r="J54" s="530"/>
      <c r="K54" s="531"/>
      <c r="L54" s="529"/>
      <c r="M54" s="530"/>
      <c r="N54" s="531"/>
      <c r="O54" s="529"/>
      <c r="P54" s="530"/>
      <c r="Q54" s="531"/>
      <c r="R54" s="529"/>
      <c r="S54" s="530"/>
      <c r="T54" s="531"/>
      <c r="U54" s="529"/>
      <c r="V54" s="530"/>
      <c r="W54" s="531"/>
      <c r="X54" s="529"/>
      <c r="Y54" s="530"/>
      <c r="Z54" s="531"/>
      <c r="AA54" s="529"/>
      <c r="AB54" s="530"/>
      <c r="AC54" s="531"/>
      <c r="AD54" s="529"/>
      <c r="AE54" s="530"/>
      <c r="AF54" s="531"/>
      <c r="AG54" s="529"/>
      <c r="AH54" s="530"/>
      <c r="AI54" s="531"/>
      <c r="AJ54" s="529"/>
      <c r="AK54" s="530"/>
      <c r="AL54" s="531"/>
      <c r="AM54" s="529"/>
      <c r="AN54" s="530"/>
      <c r="AO54" s="532"/>
      <c r="AP54" s="532"/>
      <c r="AQ54" s="530"/>
      <c r="AR54" s="530"/>
      <c r="AS54" s="530"/>
      <c r="AT54" s="530"/>
    </row>
    <row r="55" spans="1:46" s="533" customFormat="1" ht="18.75" customHeight="1" x14ac:dyDescent="0.3">
      <c r="A55" s="529" t="s">
        <v>351</v>
      </c>
      <c r="B55" s="534"/>
      <c r="C55" s="529"/>
      <c r="D55" s="530"/>
      <c r="E55" s="531"/>
      <c r="F55" s="529"/>
      <c r="G55" s="530"/>
      <c r="H55" s="531"/>
      <c r="I55" s="529"/>
      <c r="J55" s="530"/>
      <c r="K55" s="531"/>
      <c r="L55" s="529"/>
      <c r="M55" s="530"/>
      <c r="N55" s="531"/>
      <c r="O55" s="529"/>
      <c r="P55" s="530"/>
      <c r="Q55" s="531"/>
      <c r="R55" s="529"/>
      <c r="S55" s="530"/>
      <c r="T55" s="531"/>
      <c r="U55" s="529"/>
      <c r="V55" s="530"/>
      <c r="W55" s="531"/>
      <c r="X55" s="529"/>
      <c r="Y55" s="530"/>
      <c r="Z55" s="531"/>
      <c r="AA55" s="529"/>
      <c r="AB55" s="530"/>
      <c r="AC55" s="531"/>
      <c r="AD55" s="529"/>
      <c r="AE55" s="530"/>
      <c r="AF55" s="531"/>
      <c r="AG55" s="529"/>
      <c r="AH55" s="530"/>
      <c r="AI55" s="531"/>
      <c r="AJ55" s="529"/>
      <c r="AK55" s="530"/>
      <c r="AL55" s="531"/>
      <c r="AM55" s="529"/>
      <c r="AN55" s="530"/>
      <c r="AO55" s="532"/>
      <c r="AP55" s="532"/>
      <c r="AQ55" s="530"/>
      <c r="AR55" s="530"/>
      <c r="AS55" s="530"/>
      <c r="AT55" s="530"/>
    </row>
    <row r="56" spans="1:46" s="533" customFormat="1" ht="18.75" customHeight="1" x14ac:dyDescent="0.3">
      <c r="A56" s="529" t="s">
        <v>352</v>
      </c>
      <c r="B56" s="534"/>
      <c r="C56" s="529"/>
      <c r="D56" s="530"/>
      <c r="E56" s="531"/>
      <c r="F56" s="529"/>
      <c r="G56" s="530"/>
      <c r="H56" s="531"/>
      <c r="I56" s="529"/>
      <c r="J56" s="530"/>
      <c r="K56" s="531"/>
      <c r="L56" s="529"/>
      <c r="M56" s="530"/>
      <c r="N56" s="531"/>
      <c r="O56" s="529"/>
      <c r="P56" s="530"/>
      <c r="Q56" s="531"/>
      <c r="R56" s="529"/>
      <c r="S56" s="530"/>
      <c r="T56" s="531"/>
      <c r="U56" s="529"/>
      <c r="V56" s="530"/>
      <c r="W56" s="531"/>
      <c r="X56" s="529"/>
      <c r="Y56" s="530"/>
      <c r="Z56" s="531"/>
      <c r="AA56" s="529"/>
      <c r="AB56" s="530"/>
      <c r="AC56" s="531"/>
      <c r="AD56" s="529"/>
      <c r="AE56" s="530"/>
      <c r="AF56" s="531"/>
      <c r="AG56" s="529"/>
      <c r="AH56" s="530"/>
      <c r="AI56" s="531"/>
      <c r="AJ56" s="529"/>
      <c r="AK56" s="530"/>
      <c r="AL56" s="531"/>
      <c r="AM56" s="529"/>
      <c r="AN56" s="530"/>
      <c r="AO56" s="532"/>
      <c r="AP56" s="532"/>
      <c r="AQ56" s="530"/>
      <c r="AR56" s="530"/>
      <c r="AS56" s="530"/>
      <c r="AT56" s="530"/>
    </row>
    <row r="57" spans="1:46" s="528" customFormat="1" ht="18.75" customHeight="1" x14ac:dyDescent="0.3">
      <c r="A57" s="535" t="s">
        <v>353</v>
      </c>
      <c r="B57" s="536"/>
      <c r="C57" s="537"/>
      <c r="D57" s="538"/>
      <c r="E57" s="539"/>
      <c r="F57" s="537"/>
      <c r="G57" s="538"/>
      <c r="H57" s="539"/>
      <c r="I57" s="537"/>
      <c r="J57" s="538"/>
      <c r="K57" s="539"/>
      <c r="L57" s="537"/>
      <c r="M57" s="538"/>
      <c r="N57" s="539"/>
      <c r="O57" s="537"/>
      <c r="P57" s="538"/>
      <c r="Q57" s="539"/>
      <c r="R57" s="537"/>
      <c r="S57" s="538"/>
      <c r="T57" s="539"/>
      <c r="U57" s="537"/>
      <c r="V57" s="538"/>
      <c r="W57" s="539"/>
      <c r="X57" s="537"/>
      <c r="Y57" s="538"/>
      <c r="Z57" s="539"/>
      <c r="AA57" s="537"/>
      <c r="AB57" s="538"/>
      <c r="AC57" s="539"/>
      <c r="AD57" s="537"/>
      <c r="AE57" s="538"/>
      <c r="AF57" s="539"/>
      <c r="AG57" s="537"/>
      <c r="AH57" s="538"/>
      <c r="AI57" s="539"/>
      <c r="AJ57" s="537"/>
      <c r="AK57" s="538"/>
      <c r="AL57" s="539"/>
      <c r="AM57" s="537"/>
      <c r="AN57" s="538"/>
      <c r="AO57" s="540"/>
      <c r="AP57" s="540"/>
      <c r="AQ57" s="538"/>
      <c r="AR57" s="538"/>
      <c r="AS57" s="538"/>
      <c r="AT57" s="538"/>
    </row>
    <row r="58" spans="1:46" s="542" customFormat="1" ht="18.75" customHeight="1" x14ac:dyDescent="0.3">
      <c r="A58" s="507" t="s">
        <v>269</v>
      </c>
      <c r="B58" s="507"/>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row>
    <row r="59" spans="1:46" s="542" customFormat="1" ht="18.75" customHeight="1" x14ac:dyDescent="0.3">
      <c r="A59" s="507" t="s">
        <v>270</v>
      </c>
    </row>
    <row r="60" spans="1:46" s="542" customFormat="1" ht="18.75" customHeight="1" x14ac:dyDescent="0.3">
      <c r="A60" s="507" t="s">
        <v>271</v>
      </c>
    </row>
    <row r="61" spans="1:46" s="542" customFormat="1" ht="18.75" x14ac:dyDescent="0.3"/>
    <row r="62" spans="1:46" s="542" customFormat="1" ht="18.75" x14ac:dyDescent="0.3"/>
    <row r="63" spans="1:46" s="543" customFormat="1" x14ac:dyDescent="0.2">
      <c r="C63" s="544"/>
      <c r="H63" s="544"/>
      <c r="I63" s="544"/>
      <c r="W63" s="546"/>
      <c r="AO63" s="547"/>
    </row>
    <row r="64" spans="1:46" x14ac:dyDescent="0.2">
      <c r="B64" s="427"/>
    </row>
  </sheetData>
  <mergeCells count="28">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C6:AE6"/>
    <mergeCell ref="AF6:AH6"/>
    <mergeCell ref="AI6:AK6"/>
    <mergeCell ref="AL6:AN6"/>
    <mergeCell ref="AO6:AQ6"/>
  </mergeCells>
  <conditionalFormatting sqref="B14:C14 E14:F14 H14:I14 K14:L14 N14:O14 Q14:R14 T14:U14 W14:X14 Z14:AA14 AC14:AD14 AF14:AG14 AI14:AJ14 AL14:AM14 AO14:AP14 AR14:AS14">
    <cfRule type="expression" dxfId="16" priority="329">
      <formula>#REF! ="14≠11+12+13"</formula>
    </cfRule>
  </conditionalFormatting>
  <conditionalFormatting sqref="B21:C21 E21:F21 T21:U21 AC21:AD21 AO21:AP21 AR21:AS21 H21:I21 K21:L21 N21:O21 Q21:R21 W21:X21 Z21:AA21 AF21:AG21 AI21:AJ21 AL21:AM21">
    <cfRule type="expression" dxfId="15" priority="344">
      <formula>#REF! ="21≠19+20"</formula>
    </cfRule>
  </conditionalFormatting>
  <conditionalFormatting sqref="E29:F29 T29:U29 AC29:AD29 AO29:AP29 AR29:AS29 B29:C29 H29:I29 K29:L29 N29:O29 Q29:R29 W29:X29 Z29:AA29 AF29:AG29 AI29:AJ29 AL29:AM29">
    <cfRule type="expression" dxfId="14" priority="359">
      <formula>#REF! ="30≠24+25+26+27+28+29"</formula>
    </cfRule>
  </conditionalFormatting>
  <conditionalFormatting sqref="T34:U34 AC34:AD34 AO34:AP34 AR34:AS34 B34:C34 E34:F34 H34:I34 N34:O34 Q34:R34 W34:X34 Z34:AA34 AF34:AG34 AI34:AJ34 AL34:AM34 K34:L34">
    <cfRule type="expression" dxfId="13" priority="374">
      <formula>#REF! ="35≠14+15+16+17+22+30+31+32+33+34"</formula>
    </cfRule>
  </conditionalFormatting>
  <conditionalFormatting sqref="B45:C45 E45:F45 H45:I45 N45:O45 Q45:R45 T45:U45 W45:X45 Z45:AA45 AC45:AD45 AF45:AG45 AI45:AJ45 AL45:AM45 AO45:AP45 AR45:AS45 K45:L45">
    <cfRule type="expression" dxfId="12" priority="389">
      <formula>#REF! ="46≠35+38+39+40+43+45"</formula>
    </cfRule>
  </conditionalFormatting>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BK114"/>
  <sheetViews>
    <sheetView showGridLines="0" zoomScale="60" zoomScaleNormal="6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102.5703125" style="426" customWidth="1"/>
    <col min="2" max="40" width="11.7109375" style="426" customWidth="1"/>
    <col min="41" max="41" width="15.140625" style="426" customWidth="1"/>
    <col min="42" max="42" width="13" style="426" customWidth="1"/>
    <col min="43" max="43" width="11.7109375" style="426" customWidth="1"/>
    <col min="44" max="45" width="13" style="426" customWidth="1"/>
    <col min="46" max="46" width="11.7109375" style="426" customWidth="1"/>
    <col min="47" max="16384" width="11.42578125" style="426"/>
  </cols>
  <sheetData>
    <row r="1" spans="1:63" ht="20.25" customHeight="1" x14ac:dyDescent="0.3">
      <c r="A1" s="423" t="s">
        <v>187</v>
      </c>
      <c r="B1" s="424" t="s">
        <v>53</v>
      </c>
      <c r="C1" s="425"/>
      <c r="D1" s="425"/>
      <c r="E1" s="425"/>
      <c r="F1" s="425"/>
      <c r="G1" s="425"/>
      <c r="H1" s="425"/>
      <c r="I1" s="425"/>
      <c r="J1" s="425"/>
      <c r="AU1" s="549"/>
    </row>
    <row r="2" spans="1:63" ht="20.100000000000001" customHeight="1" x14ac:dyDescent="0.3">
      <c r="A2" s="423" t="s">
        <v>188</v>
      </c>
      <c r="AU2" s="549"/>
    </row>
    <row r="3" spans="1:63" ht="20.100000000000001" customHeight="1" x14ac:dyDescent="0.3">
      <c r="A3" s="550" t="s">
        <v>189</v>
      </c>
      <c r="B3" s="551"/>
      <c r="C3" s="551"/>
      <c r="D3" s="551"/>
      <c r="E3" s="551"/>
      <c r="F3" s="551"/>
      <c r="G3" s="551"/>
      <c r="H3" s="551"/>
      <c r="I3" s="551"/>
      <c r="J3" s="551"/>
      <c r="AU3" s="552"/>
    </row>
    <row r="4" spans="1:63" ht="18.75" customHeight="1" x14ac:dyDescent="0.25">
      <c r="A4" s="431" t="s">
        <v>389</v>
      </c>
      <c r="B4" s="553"/>
      <c r="C4" s="553"/>
      <c r="D4" s="554"/>
      <c r="E4" s="553"/>
      <c r="F4" s="553"/>
      <c r="G4" s="554"/>
      <c r="H4" s="555"/>
      <c r="I4" s="553"/>
      <c r="J4" s="554"/>
      <c r="K4" s="435"/>
      <c r="L4" s="435"/>
      <c r="M4" s="435"/>
      <c r="N4" s="436"/>
      <c r="O4" s="435"/>
      <c r="P4" s="437"/>
      <c r="Q4" s="436"/>
      <c r="R4" s="435"/>
      <c r="S4" s="437"/>
      <c r="T4" s="436"/>
      <c r="U4" s="435"/>
      <c r="V4" s="437"/>
      <c r="W4" s="436"/>
      <c r="X4" s="435"/>
      <c r="Y4" s="437"/>
      <c r="Z4" s="436"/>
      <c r="AA4" s="435"/>
      <c r="AB4" s="437"/>
      <c r="AC4" s="436"/>
      <c r="AD4" s="435"/>
      <c r="AE4" s="437"/>
      <c r="AF4" s="436"/>
      <c r="AG4" s="435"/>
      <c r="AH4" s="437"/>
      <c r="AI4" s="436"/>
      <c r="AJ4" s="435"/>
      <c r="AK4" s="437"/>
      <c r="AL4" s="436"/>
      <c r="AM4" s="435"/>
      <c r="AN4" s="437"/>
      <c r="AO4" s="436"/>
      <c r="AP4" s="435"/>
      <c r="AQ4" s="437"/>
      <c r="AR4" s="436"/>
      <c r="AS4" s="435"/>
      <c r="AT4" s="437"/>
      <c r="AU4" s="556"/>
      <c r="AV4" s="557"/>
      <c r="AW4" s="557"/>
      <c r="AX4" s="557"/>
      <c r="AY4" s="557"/>
      <c r="AZ4" s="557"/>
      <c r="BA4" s="557"/>
      <c r="BB4" s="557"/>
      <c r="BC4" s="557"/>
      <c r="BD4" s="557"/>
      <c r="BE4" s="557"/>
      <c r="BF4" s="557"/>
      <c r="BG4" s="557"/>
      <c r="BH4" s="557"/>
      <c r="BI4" s="557"/>
      <c r="BJ4" s="557"/>
      <c r="BK4" s="557"/>
    </row>
    <row r="5" spans="1:63" ht="18.75" customHeight="1" x14ac:dyDescent="0.3">
      <c r="A5" s="442" t="s">
        <v>112</v>
      </c>
      <c r="B5" s="703" t="s">
        <v>190</v>
      </c>
      <c r="C5" s="704"/>
      <c r="D5" s="705"/>
      <c r="E5" s="703" t="s">
        <v>191</v>
      </c>
      <c r="F5" s="704"/>
      <c r="G5" s="705"/>
      <c r="H5" s="703" t="s">
        <v>192</v>
      </c>
      <c r="I5" s="704"/>
      <c r="J5" s="705"/>
      <c r="K5" s="703" t="s">
        <v>193</v>
      </c>
      <c r="L5" s="704"/>
      <c r="M5" s="705"/>
      <c r="N5" s="703" t="s">
        <v>194</v>
      </c>
      <c r="O5" s="704"/>
      <c r="P5" s="705"/>
      <c r="Q5" s="443" t="s">
        <v>194</v>
      </c>
      <c r="R5" s="444"/>
      <c r="S5" s="445"/>
      <c r="T5" s="703" t="s">
        <v>65</v>
      </c>
      <c r="U5" s="704"/>
      <c r="V5" s="705"/>
      <c r="W5" s="443"/>
      <c r="X5" s="444"/>
      <c r="Y5" s="445"/>
      <c r="Z5" s="703" t="s">
        <v>195</v>
      </c>
      <c r="AA5" s="704"/>
      <c r="AB5" s="705"/>
      <c r="AC5" s="443"/>
      <c r="AD5" s="444"/>
      <c r="AE5" s="445"/>
      <c r="AF5" s="703" t="s">
        <v>77</v>
      </c>
      <c r="AG5" s="704"/>
      <c r="AH5" s="705"/>
      <c r="AI5" s="703"/>
      <c r="AJ5" s="704"/>
      <c r="AK5" s="705"/>
      <c r="AL5" s="703" t="s">
        <v>78</v>
      </c>
      <c r="AM5" s="704"/>
      <c r="AN5" s="705"/>
      <c r="AO5" s="703" t="s">
        <v>2</v>
      </c>
      <c r="AP5" s="704"/>
      <c r="AQ5" s="705"/>
      <c r="AR5" s="703" t="s">
        <v>2</v>
      </c>
      <c r="AS5" s="704"/>
      <c r="AT5" s="705"/>
      <c r="AU5" s="545"/>
      <c r="AV5" s="558"/>
      <c r="AW5" s="709"/>
      <c r="AX5" s="709"/>
      <c r="AY5" s="709"/>
      <c r="AZ5" s="709"/>
      <c r="BA5" s="709"/>
      <c r="BB5" s="709"/>
      <c r="BC5" s="709"/>
      <c r="BD5" s="709"/>
      <c r="BE5" s="709"/>
      <c r="BF5" s="709"/>
      <c r="BG5" s="709"/>
      <c r="BH5" s="709"/>
      <c r="BI5" s="709"/>
      <c r="BJ5" s="709"/>
      <c r="BK5" s="709"/>
    </row>
    <row r="6" spans="1:63" ht="21" customHeight="1" x14ac:dyDescent="0.3">
      <c r="A6" s="446"/>
      <c r="B6" s="697" t="s">
        <v>196</v>
      </c>
      <c r="C6" s="698"/>
      <c r="D6" s="699"/>
      <c r="E6" s="697" t="s">
        <v>197</v>
      </c>
      <c r="F6" s="698"/>
      <c r="G6" s="699"/>
      <c r="H6" s="697" t="s">
        <v>197</v>
      </c>
      <c r="I6" s="698"/>
      <c r="J6" s="699"/>
      <c r="K6" s="697" t="s">
        <v>198</v>
      </c>
      <c r="L6" s="698"/>
      <c r="M6" s="699"/>
      <c r="N6" s="697" t="s">
        <v>98</v>
      </c>
      <c r="O6" s="698"/>
      <c r="P6" s="699"/>
      <c r="Q6" s="697" t="s">
        <v>65</v>
      </c>
      <c r="R6" s="698"/>
      <c r="S6" s="699"/>
      <c r="T6" s="697" t="s">
        <v>199</v>
      </c>
      <c r="U6" s="698"/>
      <c r="V6" s="699"/>
      <c r="W6" s="697" t="s">
        <v>70</v>
      </c>
      <c r="X6" s="698"/>
      <c r="Y6" s="699"/>
      <c r="Z6" s="697" t="s">
        <v>196</v>
      </c>
      <c r="AA6" s="698"/>
      <c r="AB6" s="699"/>
      <c r="AC6" s="697" t="s">
        <v>76</v>
      </c>
      <c r="AD6" s="698"/>
      <c r="AE6" s="699"/>
      <c r="AF6" s="697" t="s">
        <v>200</v>
      </c>
      <c r="AG6" s="698"/>
      <c r="AH6" s="699"/>
      <c r="AI6" s="697" t="s">
        <v>72</v>
      </c>
      <c r="AJ6" s="698"/>
      <c r="AK6" s="699"/>
      <c r="AL6" s="697" t="s">
        <v>197</v>
      </c>
      <c r="AM6" s="698"/>
      <c r="AN6" s="699"/>
      <c r="AO6" s="697" t="s">
        <v>201</v>
      </c>
      <c r="AP6" s="698"/>
      <c r="AQ6" s="699"/>
      <c r="AR6" s="697" t="s">
        <v>202</v>
      </c>
      <c r="AS6" s="698"/>
      <c r="AT6" s="699"/>
      <c r="AU6" s="545"/>
      <c r="AV6" s="558"/>
      <c r="AW6" s="709"/>
      <c r="AX6" s="709"/>
      <c r="AY6" s="709"/>
      <c r="AZ6" s="709"/>
      <c r="BA6" s="709"/>
      <c r="BB6" s="709"/>
      <c r="BC6" s="709"/>
      <c r="BD6" s="709"/>
      <c r="BE6" s="709"/>
      <c r="BF6" s="709"/>
      <c r="BG6" s="709"/>
      <c r="BH6" s="709"/>
      <c r="BI6" s="709"/>
      <c r="BJ6" s="709"/>
      <c r="BK6" s="709"/>
    </row>
    <row r="7" spans="1:63" ht="18.75" customHeight="1" x14ac:dyDescent="0.3">
      <c r="A7" s="446"/>
      <c r="B7" s="559"/>
      <c r="C7" s="559"/>
      <c r="D7" s="447" t="s">
        <v>87</v>
      </c>
      <c r="E7" s="559"/>
      <c r="F7" s="559"/>
      <c r="G7" s="447" t="s">
        <v>87</v>
      </c>
      <c r="H7" s="559"/>
      <c r="I7" s="559"/>
      <c r="J7" s="447" t="s">
        <v>87</v>
      </c>
      <c r="K7" s="559"/>
      <c r="L7" s="559"/>
      <c r="M7" s="447" t="s">
        <v>87</v>
      </c>
      <c r="N7" s="559"/>
      <c r="O7" s="559"/>
      <c r="P7" s="447" t="s">
        <v>87</v>
      </c>
      <c r="Q7" s="559"/>
      <c r="R7" s="559"/>
      <c r="S7" s="447" t="s">
        <v>87</v>
      </c>
      <c r="T7" s="559"/>
      <c r="U7" s="559"/>
      <c r="V7" s="447" t="s">
        <v>87</v>
      </c>
      <c r="W7" s="559"/>
      <c r="X7" s="559"/>
      <c r="Y7" s="447" t="s">
        <v>87</v>
      </c>
      <c r="Z7" s="559"/>
      <c r="AA7" s="559"/>
      <c r="AB7" s="447" t="s">
        <v>87</v>
      </c>
      <c r="AC7" s="559"/>
      <c r="AD7" s="559"/>
      <c r="AE7" s="447" t="s">
        <v>87</v>
      </c>
      <c r="AF7" s="559"/>
      <c r="AG7" s="559"/>
      <c r="AH7" s="447" t="s">
        <v>87</v>
      </c>
      <c r="AI7" s="559"/>
      <c r="AJ7" s="559"/>
      <c r="AK7" s="447" t="s">
        <v>87</v>
      </c>
      <c r="AL7" s="559"/>
      <c r="AM7" s="559"/>
      <c r="AN7" s="447" t="s">
        <v>87</v>
      </c>
      <c r="AO7" s="559"/>
      <c r="AP7" s="559"/>
      <c r="AQ7" s="447" t="s">
        <v>87</v>
      </c>
      <c r="AR7" s="559"/>
      <c r="AS7" s="559"/>
      <c r="AT7" s="447" t="s">
        <v>87</v>
      </c>
      <c r="AU7" s="545"/>
      <c r="AV7" s="558"/>
      <c r="AW7" s="558"/>
      <c r="AX7" s="558"/>
      <c r="AY7" s="558"/>
      <c r="AZ7" s="558"/>
      <c r="BA7" s="558"/>
      <c r="BB7" s="558"/>
      <c r="BC7" s="558"/>
      <c r="BD7" s="558"/>
      <c r="BE7" s="558"/>
      <c r="BF7" s="558"/>
      <c r="BG7" s="558"/>
      <c r="BH7" s="558"/>
      <c r="BI7" s="558"/>
      <c r="BJ7" s="558"/>
      <c r="BK7" s="558"/>
    </row>
    <row r="8" spans="1:63" ht="18.75" customHeight="1" x14ac:dyDescent="0.25">
      <c r="A8" s="560" t="s">
        <v>203</v>
      </c>
      <c r="B8" s="561">
        <v>2016</v>
      </c>
      <c r="C8" s="561">
        <v>2017</v>
      </c>
      <c r="D8" s="450" t="s">
        <v>89</v>
      </c>
      <c r="E8" s="561">
        <v>2016</v>
      </c>
      <c r="F8" s="561">
        <v>2017</v>
      </c>
      <c r="G8" s="450" t="s">
        <v>89</v>
      </c>
      <c r="H8" s="561">
        <v>2016</v>
      </c>
      <c r="I8" s="561">
        <v>2017</v>
      </c>
      <c r="J8" s="450" t="s">
        <v>89</v>
      </c>
      <c r="K8" s="561">
        <v>2016</v>
      </c>
      <c r="L8" s="561">
        <v>2017</v>
      </c>
      <c r="M8" s="450" t="s">
        <v>89</v>
      </c>
      <c r="N8" s="561">
        <v>2016</v>
      </c>
      <c r="O8" s="561">
        <v>2017</v>
      </c>
      <c r="P8" s="450" t="s">
        <v>89</v>
      </c>
      <c r="Q8" s="561">
        <v>2016</v>
      </c>
      <c r="R8" s="561">
        <v>2017</v>
      </c>
      <c r="S8" s="450" t="s">
        <v>89</v>
      </c>
      <c r="T8" s="561">
        <v>2016</v>
      </c>
      <c r="U8" s="561">
        <v>2017</v>
      </c>
      <c r="V8" s="450" t="s">
        <v>89</v>
      </c>
      <c r="W8" s="561">
        <v>2016</v>
      </c>
      <c r="X8" s="561">
        <v>2017</v>
      </c>
      <c r="Y8" s="450" t="s">
        <v>89</v>
      </c>
      <c r="Z8" s="561">
        <v>2016</v>
      </c>
      <c r="AA8" s="561">
        <v>2017</v>
      </c>
      <c r="AB8" s="450" t="s">
        <v>89</v>
      </c>
      <c r="AC8" s="561">
        <v>2016</v>
      </c>
      <c r="AD8" s="561">
        <v>2017</v>
      </c>
      <c r="AE8" s="450" t="s">
        <v>89</v>
      </c>
      <c r="AF8" s="561">
        <v>2016</v>
      </c>
      <c r="AG8" s="561">
        <v>2017</v>
      </c>
      <c r="AH8" s="450" t="s">
        <v>89</v>
      </c>
      <c r="AI8" s="561">
        <v>2016</v>
      </c>
      <c r="AJ8" s="561">
        <v>2017</v>
      </c>
      <c r="AK8" s="450" t="s">
        <v>89</v>
      </c>
      <c r="AL8" s="561">
        <v>2016</v>
      </c>
      <c r="AM8" s="561">
        <v>2017</v>
      </c>
      <c r="AN8" s="450" t="s">
        <v>89</v>
      </c>
      <c r="AO8" s="561">
        <v>2016</v>
      </c>
      <c r="AP8" s="561">
        <v>2017</v>
      </c>
      <c r="AQ8" s="450" t="s">
        <v>89</v>
      </c>
      <c r="AR8" s="561">
        <v>2016</v>
      </c>
      <c r="AS8" s="561">
        <v>2017</v>
      </c>
      <c r="AT8" s="450" t="s">
        <v>89</v>
      </c>
      <c r="AU8" s="545"/>
      <c r="AV8" s="562"/>
      <c r="AW8" s="563"/>
      <c r="AX8" s="563"/>
      <c r="AY8" s="562"/>
      <c r="AZ8" s="563"/>
      <c r="BA8" s="563"/>
      <c r="BB8" s="562"/>
      <c r="BC8" s="563"/>
      <c r="BD8" s="563"/>
      <c r="BE8" s="562"/>
      <c r="BF8" s="563"/>
      <c r="BG8" s="563"/>
      <c r="BH8" s="562"/>
      <c r="BI8" s="563"/>
      <c r="BJ8" s="563"/>
      <c r="BK8" s="562"/>
    </row>
    <row r="9" spans="1:63" ht="18.75" customHeight="1" x14ac:dyDescent="0.3">
      <c r="A9" s="564"/>
      <c r="B9" s="565"/>
      <c r="C9" s="566"/>
      <c r="D9" s="565"/>
      <c r="E9" s="565"/>
      <c r="F9" s="566"/>
      <c r="G9" s="565"/>
      <c r="H9" s="565"/>
      <c r="I9" s="566"/>
      <c r="J9" s="565"/>
      <c r="K9" s="459"/>
      <c r="L9" s="460"/>
      <c r="M9" s="459"/>
      <c r="N9" s="567"/>
      <c r="O9" s="568"/>
      <c r="P9" s="461"/>
      <c r="Q9" s="459"/>
      <c r="R9" s="460"/>
      <c r="S9" s="461"/>
      <c r="T9" s="459"/>
      <c r="U9" s="460"/>
      <c r="V9" s="461"/>
      <c r="W9" s="459"/>
      <c r="X9" s="460"/>
      <c r="Y9" s="461"/>
      <c r="Z9" s="459"/>
      <c r="AA9" s="460"/>
      <c r="AB9" s="461"/>
      <c r="AC9" s="459"/>
      <c r="AD9" s="460"/>
      <c r="AE9" s="461"/>
      <c r="AF9" s="459"/>
      <c r="AG9" s="460"/>
      <c r="AH9" s="461"/>
      <c r="AI9" s="459"/>
      <c r="AJ9" s="460"/>
      <c r="AK9" s="461"/>
      <c r="AL9" s="459"/>
      <c r="AM9" s="460"/>
      <c r="AN9" s="461"/>
      <c r="AO9" s="459"/>
      <c r="AP9" s="460"/>
      <c r="AQ9" s="461"/>
      <c r="AR9" s="459"/>
      <c r="AS9" s="460"/>
      <c r="AT9" s="324"/>
      <c r="AU9" s="545"/>
      <c r="AV9" s="545"/>
    </row>
    <row r="10" spans="1:63" s="427" customFormat="1" ht="18.75" customHeight="1" x14ac:dyDescent="0.3">
      <c r="A10" s="492" t="s">
        <v>204</v>
      </c>
      <c r="B10" s="495"/>
      <c r="C10" s="569"/>
      <c r="D10" s="495"/>
      <c r="E10" s="495"/>
      <c r="F10" s="569"/>
      <c r="G10" s="495"/>
      <c r="H10" s="495"/>
      <c r="I10" s="569"/>
      <c r="J10" s="495"/>
      <c r="K10" s="459"/>
      <c r="L10" s="460"/>
      <c r="M10" s="459"/>
      <c r="N10" s="567"/>
      <c r="O10" s="568"/>
      <c r="P10" s="461"/>
      <c r="Q10" s="459"/>
      <c r="R10" s="460"/>
      <c r="S10" s="461"/>
      <c r="T10" s="459"/>
      <c r="U10" s="460"/>
      <c r="V10" s="461"/>
      <c r="W10" s="459"/>
      <c r="X10" s="460"/>
      <c r="Y10" s="461"/>
      <c r="Z10" s="459"/>
      <c r="AA10" s="460"/>
      <c r="AB10" s="461"/>
      <c r="AC10" s="459"/>
      <c r="AD10" s="460"/>
      <c r="AE10" s="461"/>
      <c r="AF10" s="459"/>
      <c r="AG10" s="460"/>
      <c r="AH10" s="461"/>
      <c r="AI10" s="459"/>
      <c r="AJ10" s="460"/>
      <c r="AK10" s="461"/>
      <c r="AL10" s="459"/>
      <c r="AM10" s="460"/>
      <c r="AN10" s="461"/>
      <c r="AO10" s="459"/>
      <c r="AP10" s="460"/>
      <c r="AQ10" s="461"/>
      <c r="AR10" s="459"/>
      <c r="AS10" s="460"/>
      <c r="AT10" s="324"/>
      <c r="AU10" s="430"/>
      <c r="AV10" s="430"/>
    </row>
    <row r="11" spans="1:63" s="427" customFormat="1" ht="18.75" customHeight="1" x14ac:dyDescent="0.3">
      <c r="A11" s="570"/>
      <c r="B11" s="495"/>
      <c r="C11" s="569"/>
      <c r="D11" s="495"/>
      <c r="E11" s="495"/>
      <c r="F11" s="569"/>
      <c r="G11" s="495"/>
      <c r="H11" s="495"/>
      <c r="I11" s="569"/>
      <c r="J11" s="495"/>
      <c r="K11" s="459"/>
      <c r="L11" s="460"/>
      <c r="M11" s="459"/>
      <c r="N11" s="567"/>
      <c r="O11" s="568"/>
      <c r="P11" s="461"/>
      <c r="Q11" s="459"/>
      <c r="R11" s="460"/>
      <c r="S11" s="461"/>
      <c r="T11" s="459"/>
      <c r="U11" s="460"/>
      <c r="V11" s="461"/>
      <c r="W11" s="459"/>
      <c r="X11" s="460"/>
      <c r="Y11" s="461"/>
      <c r="Z11" s="459"/>
      <c r="AA11" s="460"/>
      <c r="AB11" s="461"/>
      <c r="AC11" s="459"/>
      <c r="AD11" s="460"/>
      <c r="AE11" s="461"/>
      <c r="AF11" s="459"/>
      <c r="AG11" s="460"/>
      <c r="AH11" s="461"/>
      <c r="AI11" s="459"/>
      <c r="AJ11" s="460"/>
      <c r="AK11" s="461"/>
      <c r="AL11" s="459"/>
      <c r="AM11" s="460"/>
      <c r="AN11" s="461"/>
      <c r="AO11" s="459"/>
      <c r="AP11" s="460"/>
      <c r="AQ11" s="461"/>
      <c r="AR11" s="459"/>
      <c r="AS11" s="460"/>
      <c r="AT11" s="324"/>
      <c r="AU11" s="430"/>
      <c r="AV11" s="430"/>
    </row>
    <row r="12" spans="1:63" s="427" customFormat="1" ht="20.100000000000001" customHeight="1" x14ac:dyDescent="0.3">
      <c r="A12" s="492" t="s">
        <v>205</v>
      </c>
      <c r="B12" s="571"/>
      <c r="C12" s="572"/>
      <c r="D12" s="571"/>
      <c r="E12" s="571"/>
      <c r="F12" s="572"/>
      <c r="G12" s="571"/>
      <c r="H12" s="571"/>
      <c r="I12" s="572"/>
      <c r="J12" s="571"/>
      <c r="K12" s="459"/>
      <c r="L12" s="460"/>
      <c r="M12" s="459"/>
      <c r="N12" s="567"/>
      <c r="O12" s="568"/>
      <c r="P12" s="461"/>
      <c r="Q12" s="459"/>
      <c r="R12" s="460"/>
      <c r="S12" s="461"/>
      <c r="T12" s="459"/>
      <c r="U12" s="460"/>
      <c r="V12" s="461"/>
      <c r="W12" s="459"/>
      <c r="X12" s="460"/>
      <c r="Y12" s="461"/>
      <c r="Z12" s="459"/>
      <c r="AA12" s="460"/>
      <c r="AB12" s="461"/>
      <c r="AC12" s="459"/>
      <c r="AD12" s="460"/>
      <c r="AE12" s="461"/>
      <c r="AF12" s="459"/>
      <c r="AG12" s="460"/>
      <c r="AH12" s="461"/>
      <c r="AI12" s="459"/>
      <c r="AJ12" s="460"/>
      <c r="AK12" s="461"/>
      <c r="AL12" s="459"/>
      <c r="AM12" s="460"/>
      <c r="AN12" s="461"/>
      <c r="AO12" s="459"/>
      <c r="AP12" s="460"/>
      <c r="AQ12" s="461"/>
      <c r="AR12" s="459"/>
      <c r="AS12" s="460"/>
      <c r="AT12" s="324"/>
      <c r="AU12" s="430"/>
      <c r="AV12" s="430"/>
    </row>
    <row r="13" spans="1:63" s="486" customFormat="1" ht="20.100000000000001" customHeight="1" x14ac:dyDescent="0.3">
      <c r="A13" s="492" t="s">
        <v>206</v>
      </c>
      <c r="B13" s="573"/>
      <c r="C13" s="574"/>
      <c r="D13" s="573"/>
      <c r="E13" s="573"/>
      <c r="F13" s="574"/>
      <c r="G13" s="573"/>
      <c r="H13" s="573"/>
      <c r="I13" s="574"/>
      <c r="J13" s="573"/>
      <c r="K13" s="575"/>
      <c r="L13" s="576"/>
      <c r="M13" s="575"/>
      <c r="N13" s="577"/>
      <c r="O13" s="578"/>
      <c r="P13" s="465"/>
      <c r="Q13" s="575"/>
      <c r="R13" s="576"/>
      <c r="S13" s="465"/>
      <c r="T13" s="575"/>
      <c r="U13" s="576"/>
      <c r="V13" s="465"/>
      <c r="W13" s="575"/>
      <c r="X13" s="576"/>
      <c r="Y13" s="465"/>
      <c r="Z13" s="575"/>
      <c r="AA13" s="576"/>
      <c r="AB13" s="465"/>
      <c r="AC13" s="575"/>
      <c r="AD13" s="576"/>
      <c r="AE13" s="465"/>
      <c r="AF13" s="575"/>
      <c r="AG13" s="576"/>
      <c r="AH13" s="465"/>
      <c r="AI13" s="575"/>
      <c r="AJ13" s="576"/>
      <c r="AK13" s="465"/>
      <c r="AL13" s="575"/>
      <c r="AM13" s="576"/>
      <c r="AN13" s="465"/>
      <c r="AO13" s="575"/>
      <c r="AP13" s="576"/>
      <c r="AQ13" s="465"/>
      <c r="AR13" s="575"/>
      <c r="AS13" s="576"/>
      <c r="AT13" s="485"/>
      <c r="AU13" s="579"/>
      <c r="AV13" s="579"/>
    </row>
    <row r="14" spans="1:63" s="486" customFormat="1" ht="20.100000000000001" customHeight="1" x14ac:dyDescent="0.3">
      <c r="A14" s="458" t="s">
        <v>207</v>
      </c>
      <c r="B14" s="465"/>
      <c r="C14" s="485"/>
      <c r="D14" s="465"/>
      <c r="E14" s="465"/>
      <c r="F14" s="485"/>
      <c r="G14" s="465"/>
      <c r="H14" s="465"/>
      <c r="I14" s="485"/>
      <c r="J14" s="465"/>
      <c r="K14" s="575"/>
      <c r="L14" s="576"/>
      <c r="M14" s="575"/>
      <c r="N14" s="577"/>
      <c r="O14" s="578"/>
      <c r="P14" s="465"/>
      <c r="Q14" s="575">
        <v>991.31491974999994</v>
      </c>
      <c r="R14" s="576">
        <v>992.60525874999996</v>
      </c>
      <c r="S14" s="465">
        <f t="shared" ref="S14:S28" si="0">IF(Q14=0, "    ---- ", IF(ABS(ROUND(100/Q14*R14-100,1))&lt;999,ROUND(100/Q14*R14-100,1),IF(ROUND(100/Q14*R14-100,1)&gt;999,999,-999)))</f>
        <v>0.1</v>
      </c>
      <c r="T14" s="575"/>
      <c r="U14" s="576"/>
      <c r="V14" s="465"/>
      <c r="W14" s="575"/>
      <c r="X14" s="576"/>
      <c r="Y14" s="465"/>
      <c r="Z14" s="575"/>
      <c r="AA14" s="576"/>
      <c r="AB14" s="465"/>
      <c r="AC14" s="575"/>
      <c r="AD14" s="576"/>
      <c r="AE14" s="465"/>
      <c r="AF14" s="575"/>
      <c r="AG14" s="576"/>
      <c r="AH14" s="465"/>
      <c r="AI14" s="575">
        <v>1.581</v>
      </c>
      <c r="AJ14" s="576">
        <v>1.605</v>
      </c>
      <c r="AK14" s="465">
        <f t="shared" ref="AK14:AK28" si="1">IF(AI14=0, "    ---- ", IF(ABS(ROUND(100/AI14*AJ14-100,1))&lt;999,ROUND(100/AI14*AJ14-100,1),IF(ROUND(100/AI14*AJ14-100,1)&gt;999,999,-999)))</f>
        <v>1.5</v>
      </c>
      <c r="AL14" s="575"/>
      <c r="AM14" s="576"/>
      <c r="AN14" s="465"/>
      <c r="AO14" s="575">
        <f>B14+E14+H14+K14+Q14+T14+W14+Z14+AF14+AI14+AL14</f>
        <v>992.89591974999996</v>
      </c>
      <c r="AP14" s="576">
        <f t="shared" ref="AO14:AP29" si="2">C14+F14+I14+L14+R14+U14+X14+AA14+AG14+AJ14+AM14</f>
        <v>994.21025874999998</v>
      </c>
      <c r="AQ14" s="465">
        <f t="shared" ref="AQ14:AQ28" si="3">IF(AO14=0, "    ---- ", IF(ABS(ROUND(100/AO14*AP14-100,1))&lt;999,ROUND(100/AO14*AP14-100,1),IF(ROUND(100/AO14*AP14-100,1)&gt;999,999,-999)))</f>
        <v>0.1</v>
      </c>
      <c r="AR14" s="575">
        <f t="shared" ref="AR14:AS29" si="4">B14+E14+H14+K14+N14+Q14+T14+W14+Z14+AC14+AF14+AI14+AL14</f>
        <v>992.89591974999996</v>
      </c>
      <c r="AS14" s="576">
        <f t="shared" si="4"/>
        <v>994.21025874999998</v>
      </c>
      <c r="AT14" s="485">
        <f t="shared" ref="AT14:AT29" si="5">IF(AR14=0, "    ---- ", IF(ABS(ROUND(100/AR14*AS14-100,1))&lt;999,ROUND(100/AR14*AS14-100,1),IF(ROUND(100/AR14*AS14-100,1)&gt;999,999,-999)))</f>
        <v>0.1</v>
      </c>
      <c r="AU14" s="579"/>
      <c r="AV14" s="468"/>
    </row>
    <row r="15" spans="1:63" s="486" customFormat="1" ht="20.100000000000001" customHeight="1" x14ac:dyDescent="0.3">
      <c r="A15" s="458" t="s">
        <v>208</v>
      </c>
      <c r="B15" s="465"/>
      <c r="C15" s="485"/>
      <c r="D15" s="465"/>
      <c r="E15" s="465">
        <v>47.2</v>
      </c>
      <c r="F15" s="485">
        <v>59.859000000000002</v>
      </c>
      <c r="G15" s="465">
        <f t="shared" ref="G15:G28" si="6">IF(E15=0, "    ---- ", IF(ABS(ROUND(100/E15*F15-100,1))&lt;999,ROUND(100/E15*F15-100,1),IF(ROUND(100/E15*F15-100,1)&gt;999,999,-999)))</f>
        <v>26.8</v>
      </c>
      <c r="H15" s="465"/>
      <c r="I15" s="485"/>
      <c r="J15" s="465"/>
      <c r="K15" s="575"/>
      <c r="L15" s="576"/>
      <c r="M15" s="575"/>
      <c r="N15" s="577"/>
      <c r="O15" s="578"/>
      <c r="P15" s="465"/>
      <c r="Q15" s="575">
        <v>5770.4701971200002</v>
      </c>
      <c r="R15" s="576">
        <v>6334.0334657200001</v>
      </c>
      <c r="S15" s="465">
        <f t="shared" si="0"/>
        <v>9.8000000000000007</v>
      </c>
      <c r="T15" s="575"/>
      <c r="U15" s="576"/>
      <c r="V15" s="465"/>
      <c r="W15" s="575"/>
      <c r="X15" s="576"/>
      <c r="Y15" s="465"/>
      <c r="Z15" s="575">
        <v>940</v>
      </c>
      <c r="AA15" s="576">
        <v>983</v>
      </c>
      <c r="AB15" s="465">
        <f t="shared" ref="AB15:AB28" si="7">IF(Z15=0, "    ---- ", IF(ABS(ROUND(100/Z15*AA15-100,1))&lt;999,ROUND(100/Z15*AA15-100,1),IF(ROUND(100/Z15*AA15-100,1)&gt;999,999,-999)))</f>
        <v>4.5999999999999996</v>
      </c>
      <c r="AC15" s="575"/>
      <c r="AD15" s="576"/>
      <c r="AE15" s="465"/>
      <c r="AF15" s="575"/>
      <c r="AG15" s="576"/>
      <c r="AH15" s="465"/>
      <c r="AI15" s="575">
        <v>812.279</v>
      </c>
      <c r="AJ15" s="576">
        <v>994.76700000000005</v>
      </c>
      <c r="AK15" s="465">
        <f t="shared" si="1"/>
        <v>22.5</v>
      </c>
      <c r="AL15" s="575">
        <v>13335</v>
      </c>
      <c r="AM15" s="576">
        <v>13038.4</v>
      </c>
      <c r="AN15" s="465">
        <f t="shared" ref="AN15:AN28" si="8">IF(AL15=0, "    ---- ", IF(ABS(ROUND(100/AL15*AM15-100,1))&lt;999,ROUND(100/AL15*AM15-100,1),IF(ROUND(100/AL15*AM15-100,1)&gt;999,999,-999)))</f>
        <v>-2.2000000000000002</v>
      </c>
      <c r="AO15" s="575">
        <f t="shared" si="2"/>
        <v>20904.94919712</v>
      </c>
      <c r="AP15" s="576">
        <f>C15+F15+I15+L15+R15+U15+X15+AA15+AG15+AJ15+AM15</f>
        <v>21410.059465719998</v>
      </c>
      <c r="AQ15" s="465">
        <f t="shared" si="3"/>
        <v>2.4</v>
      </c>
      <c r="AR15" s="575">
        <f t="shared" si="4"/>
        <v>20904.94919712</v>
      </c>
      <c r="AS15" s="576">
        <f t="shared" si="4"/>
        <v>21410.059465719998</v>
      </c>
      <c r="AT15" s="485">
        <f t="shared" si="5"/>
        <v>2.4</v>
      </c>
      <c r="AU15" s="579"/>
      <c r="AV15" s="579"/>
    </row>
    <row r="16" spans="1:63" s="486" customFormat="1" ht="20.100000000000001" customHeight="1" x14ac:dyDescent="0.3">
      <c r="A16" s="458" t="s">
        <v>209</v>
      </c>
      <c r="B16" s="465"/>
      <c r="C16" s="485"/>
      <c r="D16" s="465"/>
      <c r="E16" s="465">
        <v>5016</v>
      </c>
      <c r="F16" s="485">
        <f>SUM(F17+F19)</f>
        <v>3709.3679999999999</v>
      </c>
      <c r="G16" s="465">
        <f t="shared" si="6"/>
        <v>-26</v>
      </c>
      <c r="H16" s="465">
        <v>25.933</v>
      </c>
      <c r="I16" s="485">
        <f>SUM(I17+I19)</f>
        <v>34.683</v>
      </c>
      <c r="J16" s="465">
        <f t="shared" ref="J16:J18" si="9">IF(H16=0, "    ---- ", IF(ABS(ROUND(100/H16*I16-100,1))&lt;999,ROUND(100/H16*I16-100,1),IF(ROUND(100/H16*I16-100,1)&gt;999,999,-999)))</f>
        <v>33.700000000000003</v>
      </c>
      <c r="K16" s="575"/>
      <c r="L16" s="576"/>
      <c r="M16" s="575"/>
      <c r="N16" s="577"/>
      <c r="O16" s="578"/>
      <c r="P16" s="465"/>
      <c r="Q16" s="575">
        <v>13177.076048659999</v>
      </c>
      <c r="R16" s="576">
        <f>SUM(R17+R19)</f>
        <v>15796.2196401</v>
      </c>
      <c r="S16" s="465">
        <f t="shared" si="0"/>
        <v>19.899999999999999</v>
      </c>
      <c r="T16" s="575">
        <v>148.6</v>
      </c>
      <c r="U16" s="576">
        <f>SUM(U17+U19)</f>
        <v>216.9</v>
      </c>
      <c r="V16" s="465">
        <f t="shared" ref="V16:V28" si="10">IF(T16=0, "    ---- ", IF(ABS(ROUND(100/T16*U16-100,1))&lt;999,ROUND(100/T16*U16-100,1),IF(ROUND(100/T16*U16-100,1)&gt;999,999,-999)))</f>
        <v>46</v>
      </c>
      <c r="W16" s="575"/>
      <c r="X16" s="576"/>
      <c r="Y16" s="465"/>
      <c r="Z16" s="575">
        <v>4122</v>
      </c>
      <c r="AA16" s="576">
        <f>SUM(AA17+AA19)</f>
        <v>4360</v>
      </c>
      <c r="AB16" s="465">
        <f t="shared" si="7"/>
        <v>5.8</v>
      </c>
      <c r="AC16" s="575"/>
      <c r="AD16" s="576"/>
      <c r="AE16" s="465"/>
      <c r="AF16" s="575"/>
      <c r="AG16" s="576"/>
      <c r="AH16" s="465"/>
      <c r="AI16" s="575">
        <v>955.07300000000009</v>
      </c>
      <c r="AJ16" s="576">
        <f>SUM(AJ17+AJ19)</f>
        <v>1115.4010000000001</v>
      </c>
      <c r="AK16" s="465">
        <f t="shared" si="1"/>
        <v>16.8</v>
      </c>
      <c r="AL16" s="575">
        <v>3181</v>
      </c>
      <c r="AM16" s="576">
        <f>SUM(AM17+AM19)</f>
        <v>3408</v>
      </c>
      <c r="AN16" s="465">
        <f t="shared" si="8"/>
        <v>7.1</v>
      </c>
      <c r="AO16" s="575">
        <f t="shared" si="2"/>
        <v>26625.682048659997</v>
      </c>
      <c r="AP16" s="576">
        <f>C16+F16+I16+L16+R16+U16+X16+AA16+AG16+AJ16+AM16</f>
        <v>28640.571640100003</v>
      </c>
      <c r="AQ16" s="465">
        <f t="shared" si="3"/>
        <v>7.6</v>
      </c>
      <c r="AR16" s="575">
        <f t="shared" si="4"/>
        <v>26625.682048659997</v>
      </c>
      <c r="AS16" s="576">
        <f t="shared" si="4"/>
        <v>28640.571640100003</v>
      </c>
      <c r="AT16" s="485">
        <f t="shared" si="5"/>
        <v>7.6</v>
      </c>
      <c r="AU16" s="579"/>
      <c r="AV16" s="468"/>
    </row>
    <row r="17" spans="1:49" s="486" customFormat="1" ht="20.100000000000001" customHeight="1" x14ac:dyDescent="0.3">
      <c r="A17" s="458" t="s">
        <v>210</v>
      </c>
      <c r="B17" s="465"/>
      <c r="C17" s="485"/>
      <c r="D17" s="465"/>
      <c r="E17" s="465">
        <v>3155.9</v>
      </c>
      <c r="F17" s="485">
        <v>1863.3989999999999</v>
      </c>
      <c r="G17" s="465">
        <f t="shared" si="6"/>
        <v>-41</v>
      </c>
      <c r="H17" s="465">
        <v>25.933</v>
      </c>
      <c r="I17" s="485">
        <v>34.683</v>
      </c>
      <c r="J17" s="465">
        <f t="shared" si="9"/>
        <v>33.700000000000003</v>
      </c>
      <c r="K17" s="575"/>
      <c r="L17" s="576"/>
      <c r="M17" s="575"/>
      <c r="N17" s="577"/>
      <c r="O17" s="578"/>
      <c r="P17" s="465"/>
      <c r="Q17" s="575">
        <v>6386.7080799599998</v>
      </c>
      <c r="R17" s="576">
        <v>6645.4223959700003</v>
      </c>
      <c r="S17" s="465">
        <f t="shared" si="0"/>
        <v>4.0999999999999996</v>
      </c>
      <c r="T17" s="575">
        <v>121.4</v>
      </c>
      <c r="U17" s="576">
        <v>0</v>
      </c>
      <c r="V17" s="465">
        <f t="shared" si="10"/>
        <v>-100</v>
      </c>
      <c r="W17" s="575"/>
      <c r="X17" s="576"/>
      <c r="Y17" s="465"/>
      <c r="Z17" s="575">
        <v>445</v>
      </c>
      <c r="AA17" s="576">
        <v>290</v>
      </c>
      <c r="AB17" s="465">
        <f t="shared" si="7"/>
        <v>-34.799999999999997</v>
      </c>
      <c r="AC17" s="575"/>
      <c r="AD17" s="576"/>
      <c r="AE17" s="465"/>
      <c r="AF17" s="575"/>
      <c r="AG17" s="576"/>
      <c r="AH17" s="465"/>
      <c r="AI17" s="575">
        <v>205.108</v>
      </c>
      <c r="AJ17" s="576">
        <v>141.458</v>
      </c>
      <c r="AK17" s="465">
        <f t="shared" si="1"/>
        <v>-31</v>
      </c>
      <c r="AL17" s="575"/>
      <c r="AM17" s="576"/>
      <c r="AN17" s="465"/>
      <c r="AO17" s="575">
        <f t="shared" si="2"/>
        <v>10340.049079959999</v>
      </c>
      <c r="AP17" s="576">
        <f>C17+F17+I17+L17+R17+U17+X17+AA17+AG17+AJ17+AM17</f>
        <v>8974.9623959700002</v>
      </c>
      <c r="AQ17" s="465">
        <f t="shared" si="3"/>
        <v>-13.2</v>
      </c>
      <c r="AR17" s="575">
        <f t="shared" si="4"/>
        <v>10340.049079959999</v>
      </c>
      <c r="AS17" s="576">
        <f t="shared" si="4"/>
        <v>8974.9623959700002</v>
      </c>
      <c r="AT17" s="485">
        <f t="shared" si="5"/>
        <v>-13.2</v>
      </c>
      <c r="AU17" s="579"/>
      <c r="AV17" s="579"/>
    </row>
    <row r="18" spans="1:49" s="486" customFormat="1" ht="20.100000000000001" customHeight="1" x14ac:dyDescent="0.3">
      <c r="A18" s="458" t="s">
        <v>211</v>
      </c>
      <c r="B18" s="465"/>
      <c r="C18" s="485"/>
      <c r="D18" s="465"/>
      <c r="E18" s="465">
        <v>3155.9</v>
      </c>
      <c r="F18" s="485">
        <v>1863.3989999999999</v>
      </c>
      <c r="G18" s="465">
        <f t="shared" si="6"/>
        <v>-41</v>
      </c>
      <c r="H18" s="465">
        <v>25.933</v>
      </c>
      <c r="I18" s="485">
        <v>34.683</v>
      </c>
      <c r="J18" s="465">
        <f t="shared" si="9"/>
        <v>33.700000000000003</v>
      </c>
      <c r="K18" s="575"/>
      <c r="L18" s="576"/>
      <c r="M18" s="575"/>
      <c r="N18" s="577"/>
      <c r="O18" s="578"/>
      <c r="P18" s="465"/>
      <c r="Q18" s="575">
        <v>6386.7080799599998</v>
      </c>
      <c r="R18" s="576">
        <v>6645.4223959700003</v>
      </c>
      <c r="S18" s="465">
        <f t="shared" si="0"/>
        <v>4.0999999999999996</v>
      </c>
      <c r="T18" s="575"/>
      <c r="U18" s="576"/>
      <c r="V18" s="465"/>
      <c r="W18" s="575"/>
      <c r="X18" s="576"/>
      <c r="Y18" s="465"/>
      <c r="Z18" s="575"/>
      <c r="AA18" s="576"/>
      <c r="AB18" s="465"/>
      <c r="AC18" s="575"/>
      <c r="AD18" s="576"/>
      <c r="AE18" s="465"/>
      <c r="AF18" s="575"/>
      <c r="AG18" s="576"/>
      <c r="AH18" s="465"/>
      <c r="AI18" s="575">
        <v>46.46299791000002</v>
      </c>
      <c r="AJ18" s="576">
        <v>27.972692770000016</v>
      </c>
      <c r="AK18" s="465">
        <f t="shared" si="1"/>
        <v>-39.799999999999997</v>
      </c>
      <c r="AL18" s="575"/>
      <c r="AM18" s="576"/>
      <c r="AN18" s="465"/>
      <c r="AO18" s="575">
        <f t="shared" si="2"/>
        <v>9615.0040778700004</v>
      </c>
      <c r="AP18" s="576">
        <f t="shared" si="2"/>
        <v>8571.4770887399991</v>
      </c>
      <c r="AQ18" s="465">
        <f t="shared" si="3"/>
        <v>-10.9</v>
      </c>
      <c r="AR18" s="575">
        <f t="shared" si="4"/>
        <v>9615.0040778700004</v>
      </c>
      <c r="AS18" s="576">
        <f t="shared" si="4"/>
        <v>8571.4770887399991</v>
      </c>
      <c r="AT18" s="485">
        <f t="shared" si="5"/>
        <v>-10.9</v>
      </c>
      <c r="AU18" s="579"/>
      <c r="AV18" s="579"/>
    </row>
    <row r="19" spans="1:49" s="486" customFormat="1" ht="20.100000000000001" customHeight="1" x14ac:dyDescent="0.3">
      <c r="A19" s="458" t="s">
        <v>212</v>
      </c>
      <c r="B19" s="465"/>
      <c r="C19" s="485"/>
      <c r="D19" s="465"/>
      <c r="E19" s="465">
        <v>1860.1</v>
      </c>
      <c r="F19" s="485">
        <v>1845.9690000000001</v>
      </c>
      <c r="G19" s="465">
        <f t="shared" si="6"/>
        <v>-0.8</v>
      </c>
      <c r="H19" s="465"/>
      <c r="I19" s="485"/>
      <c r="J19" s="465"/>
      <c r="K19" s="575"/>
      <c r="L19" s="576"/>
      <c r="M19" s="575"/>
      <c r="N19" s="577"/>
      <c r="O19" s="578"/>
      <c r="P19" s="465"/>
      <c r="Q19" s="575">
        <v>6790.3679686999994</v>
      </c>
      <c r="R19" s="576">
        <v>9150.7972441299989</v>
      </c>
      <c r="S19" s="465">
        <f t="shared" si="0"/>
        <v>34.799999999999997</v>
      </c>
      <c r="T19" s="575">
        <v>27.2</v>
      </c>
      <c r="U19" s="576">
        <v>216.9</v>
      </c>
      <c r="V19" s="465">
        <f t="shared" si="10"/>
        <v>697.4</v>
      </c>
      <c r="W19" s="575"/>
      <c r="X19" s="576"/>
      <c r="Y19" s="465"/>
      <c r="Z19" s="575">
        <v>3677</v>
      </c>
      <c r="AA19" s="576">
        <v>4070</v>
      </c>
      <c r="AB19" s="465">
        <f t="shared" si="7"/>
        <v>10.7</v>
      </c>
      <c r="AC19" s="575"/>
      <c r="AD19" s="576"/>
      <c r="AE19" s="465"/>
      <c r="AF19" s="575"/>
      <c r="AG19" s="576"/>
      <c r="AH19" s="465"/>
      <c r="AI19" s="575">
        <v>749.96500000000003</v>
      </c>
      <c r="AJ19" s="576">
        <v>973.94299999999998</v>
      </c>
      <c r="AK19" s="465">
        <f t="shared" si="1"/>
        <v>29.9</v>
      </c>
      <c r="AL19" s="575">
        <v>3181</v>
      </c>
      <c r="AM19" s="576">
        <v>3408</v>
      </c>
      <c r="AN19" s="465">
        <f t="shared" si="8"/>
        <v>7.1</v>
      </c>
      <c r="AO19" s="575">
        <f t="shared" si="2"/>
        <v>16285.6329687</v>
      </c>
      <c r="AP19" s="576">
        <f t="shared" si="2"/>
        <v>19665.609244129999</v>
      </c>
      <c r="AQ19" s="465">
        <f t="shared" si="3"/>
        <v>20.8</v>
      </c>
      <c r="AR19" s="575">
        <f t="shared" si="4"/>
        <v>16285.6329687</v>
      </c>
      <c r="AS19" s="576">
        <f t="shared" si="4"/>
        <v>19665.609244129999</v>
      </c>
      <c r="AT19" s="485">
        <f t="shared" si="5"/>
        <v>20.8</v>
      </c>
      <c r="AU19" s="579"/>
      <c r="AV19" s="579"/>
    </row>
    <row r="20" spans="1:49" s="486" customFormat="1" ht="20.100000000000001" customHeight="1" x14ac:dyDescent="0.3">
      <c r="A20" s="458" t="s">
        <v>213</v>
      </c>
      <c r="B20" s="465">
        <v>157.905</v>
      </c>
      <c r="C20" s="485">
        <f>SUM(C21:C25)</f>
        <v>234.99900000000002</v>
      </c>
      <c r="D20" s="465">
        <f>IF(B20=0, "    ---- ", IF(ABS(ROUND(100/B20*C20-100,1))&lt;999,ROUND(100/B20*C20-100,1),IF(ROUND(100/B20*C20-100,1)&gt;999,999,-999)))</f>
        <v>48.8</v>
      </c>
      <c r="E20" s="465">
        <v>24064</v>
      </c>
      <c r="F20" s="485">
        <f>SUM(F21:F25)</f>
        <v>26797.284000000003</v>
      </c>
      <c r="G20" s="465">
        <f t="shared" si="6"/>
        <v>11.4</v>
      </c>
      <c r="H20" s="465">
        <v>166.98799999999997</v>
      </c>
      <c r="I20" s="485">
        <f>SUM(I21:I25)</f>
        <v>178.04800000000003</v>
      </c>
      <c r="J20" s="465">
        <f t="shared" ref="J20:J28" si="11">IF(H20=0, "    ---- ", IF(ABS(ROUND(100/H20*I20-100,1))&lt;999,ROUND(100/H20*I20-100,1),IF(ROUND(100/H20*I20-100,1)&gt;999,999,-999)))</f>
        <v>6.6</v>
      </c>
      <c r="K20" s="575">
        <v>699.95100000000002</v>
      </c>
      <c r="L20" s="576">
        <f>SUM(L21:L25)</f>
        <v>899.2</v>
      </c>
      <c r="M20" s="575">
        <f t="shared" ref="M20:M28" si="12">IF(K20=0, "    ---- ", IF(ABS(ROUND(100/K20*L20-100,1))&lt;999,ROUND(100/K20*L20-100,1),IF(ROUND(100/K20*L20-100,1)&gt;999,999,-999)))</f>
        <v>28.5</v>
      </c>
      <c r="N20" s="577"/>
      <c r="O20" s="578"/>
      <c r="P20" s="465"/>
      <c r="Q20" s="575">
        <v>11950.275035459999</v>
      </c>
      <c r="R20" s="576">
        <f>SUM(R21:R25)</f>
        <v>11655.846282769999</v>
      </c>
      <c r="S20" s="465">
        <f t="shared" si="0"/>
        <v>-2.5</v>
      </c>
      <c r="T20" s="575">
        <v>170.6</v>
      </c>
      <c r="U20" s="576">
        <f>SUM(U21:U25)</f>
        <v>309.7</v>
      </c>
      <c r="V20" s="465">
        <f t="shared" si="10"/>
        <v>81.5</v>
      </c>
      <c r="W20" s="575">
        <v>8379.56</v>
      </c>
      <c r="X20" s="576">
        <f>SUM(X21:X25)</f>
        <v>9410.64</v>
      </c>
      <c r="Y20" s="465">
        <f t="shared" ref="Y20:Y28" si="13">IF(W20=0, "    ---- ", IF(ABS(ROUND(100/W20*X20-100,1))&lt;999,ROUND(100/W20*X20-100,1),IF(ROUND(100/W20*X20-100,1)&gt;999,999,-999)))</f>
        <v>12.3</v>
      </c>
      <c r="Z20" s="575">
        <v>2797</v>
      </c>
      <c r="AA20" s="576">
        <f>SUM(AA21:AA25)</f>
        <v>3087</v>
      </c>
      <c r="AB20" s="465">
        <f t="shared" si="7"/>
        <v>10.4</v>
      </c>
      <c r="AC20" s="575"/>
      <c r="AD20" s="576"/>
      <c r="AE20" s="465"/>
      <c r="AF20" s="575">
        <v>428.14558813999997</v>
      </c>
      <c r="AG20" s="576">
        <f>SUM(AG21:AG25)</f>
        <v>0</v>
      </c>
      <c r="AH20" s="465">
        <f t="shared" ref="AH20:AH28" si="14">IF(AF20=0, "    ---- ", IF(ABS(ROUND(100/AF20*AG20-100,1))&lt;999,ROUND(100/AF20*AG20-100,1),IF(ROUND(100/AF20*AG20-100,1)&gt;999,999,-999)))</f>
        <v>-100</v>
      </c>
      <c r="AI20" s="575">
        <v>3101.2080000000001</v>
      </c>
      <c r="AJ20" s="576">
        <f>SUM(AJ21:AJ25)</f>
        <v>3662.16</v>
      </c>
      <c r="AK20" s="465">
        <f t="shared" si="1"/>
        <v>18.100000000000001</v>
      </c>
      <c r="AL20" s="575">
        <v>13598</v>
      </c>
      <c r="AM20" s="576">
        <f>SUM(AM21:AM25)</f>
        <v>15804.6</v>
      </c>
      <c r="AN20" s="465">
        <f t="shared" si="8"/>
        <v>16.2</v>
      </c>
      <c r="AO20" s="575">
        <f t="shared" si="2"/>
        <v>65513.632623599995</v>
      </c>
      <c r="AP20" s="576">
        <f t="shared" si="2"/>
        <v>72039.477282770007</v>
      </c>
      <c r="AQ20" s="465">
        <f t="shared" si="3"/>
        <v>10</v>
      </c>
      <c r="AR20" s="575">
        <f>B20+E20+H20+K20+N20+Q20+T20+W20+Z20+AC20+AF20+AI20+AL20</f>
        <v>65513.632623599995</v>
      </c>
      <c r="AS20" s="576">
        <f t="shared" si="4"/>
        <v>72039.477282770007</v>
      </c>
      <c r="AT20" s="485">
        <f t="shared" si="5"/>
        <v>10</v>
      </c>
      <c r="AU20" s="579"/>
      <c r="AV20" s="468"/>
    </row>
    <row r="21" spans="1:49" s="486" customFormat="1" ht="20.100000000000001" customHeight="1" x14ac:dyDescent="0.3">
      <c r="A21" s="458" t="s">
        <v>214</v>
      </c>
      <c r="B21" s="465">
        <v>2.508</v>
      </c>
      <c r="C21" s="485">
        <v>2.9550000000000001</v>
      </c>
      <c r="D21" s="465">
        <f>IF(B21=0, "    ---- ", IF(ABS(ROUND(100/B21*C21-100,1))&lt;999,ROUND(100/B21*C21-100,1),IF(ROUND(100/B21*C21-100,1)&gt;999,999,-999)))</f>
        <v>17.8</v>
      </c>
      <c r="E21" s="465">
        <v>966</v>
      </c>
      <c r="F21" s="485">
        <v>1074.0429999999999</v>
      </c>
      <c r="G21" s="465">
        <f t="shared" si="6"/>
        <v>11.2</v>
      </c>
      <c r="H21" s="465">
        <v>21.756</v>
      </c>
      <c r="I21" s="485">
        <v>24.097000000000001</v>
      </c>
      <c r="J21" s="465">
        <f t="shared" si="11"/>
        <v>10.8</v>
      </c>
      <c r="K21" s="575">
        <v>16.489000000000001</v>
      </c>
      <c r="L21" s="576">
        <v>57.13</v>
      </c>
      <c r="M21" s="575">
        <f t="shared" si="12"/>
        <v>246.5</v>
      </c>
      <c r="N21" s="577"/>
      <c r="O21" s="578"/>
      <c r="P21" s="465"/>
      <c r="Q21" s="575">
        <v>412.36709999999999</v>
      </c>
      <c r="R21" s="576">
        <v>471.22179999999997</v>
      </c>
      <c r="S21" s="465">
        <f t="shared" si="0"/>
        <v>14.3</v>
      </c>
      <c r="T21" s="575">
        <v>155.1</v>
      </c>
      <c r="U21" s="576">
        <v>298.5</v>
      </c>
      <c r="V21" s="465">
        <f t="shared" si="10"/>
        <v>92.5</v>
      </c>
      <c r="W21" s="575">
        <v>8.66</v>
      </c>
      <c r="X21" s="576">
        <v>7.46</v>
      </c>
      <c r="Y21" s="465">
        <f t="shared" si="13"/>
        <v>-13.9</v>
      </c>
      <c r="Z21" s="575">
        <v>1135</v>
      </c>
      <c r="AA21" s="576">
        <v>1426</v>
      </c>
      <c r="AB21" s="465">
        <f t="shared" si="7"/>
        <v>25.6</v>
      </c>
      <c r="AC21" s="575"/>
      <c r="AD21" s="576"/>
      <c r="AE21" s="465"/>
      <c r="AF21" s="575">
        <v>-1.00000001490116E-7</v>
      </c>
      <c r="AG21" s="576"/>
      <c r="AH21" s="465">
        <f t="shared" si="14"/>
        <v>-100</v>
      </c>
      <c r="AI21" s="575">
        <v>1.3149999999999999</v>
      </c>
      <c r="AJ21" s="576">
        <v>0.47799999999999998</v>
      </c>
      <c r="AK21" s="465">
        <f t="shared" si="1"/>
        <v>-63.7</v>
      </c>
      <c r="AL21" s="575">
        <v>74</v>
      </c>
      <c r="AM21" s="576">
        <v>16.399999999999999</v>
      </c>
      <c r="AN21" s="465">
        <f t="shared" si="8"/>
        <v>-77.8</v>
      </c>
      <c r="AO21" s="575">
        <f t="shared" si="2"/>
        <v>2793.1950999000005</v>
      </c>
      <c r="AP21" s="576">
        <f t="shared" si="2"/>
        <v>3378.2847999999999</v>
      </c>
      <c r="AQ21" s="465">
        <f t="shared" si="3"/>
        <v>20.9</v>
      </c>
      <c r="AR21" s="575">
        <f t="shared" si="4"/>
        <v>2793.1950999000005</v>
      </c>
      <c r="AS21" s="576">
        <f>C21+F21+I21+L21+O21+R21+U21+X21+AA21+AD21+AG21+AJ21+AM21</f>
        <v>3378.2847999999999</v>
      </c>
      <c r="AT21" s="485">
        <f t="shared" si="5"/>
        <v>20.9</v>
      </c>
      <c r="AU21" s="579"/>
      <c r="AV21" s="579"/>
    </row>
    <row r="22" spans="1:49" s="486" customFormat="1" ht="20.100000000000001" customHeight="1" x14ac:dyDescent="0.3">
      <c r="A22" s="458" t="s">
        <v>215</v>
      </c>
      <c r="B22" s="465">
        <v>155.39699999999999</v>
      </c>
      <c r="C22" s="485">
        <v>232.04400000000001</v>
      </c>
      <c r="D22" s="465">
        <f>IF(B22=0, "    ---- ", IF(ABS(ROUND(100/B22*C22-100,1))&lt;999,ROUND(100/B22*C22-100,1),IF(ROUND(100/B22*C22-100,1)&gt;999,999,-999)))</f>
        <v>49.3</v>
      </c>
      <c r="E22" s="465">
        <v>23063</v>
      </c>
      <c r="F22" s="485">
        <v>25708.696</v>
      </c>
      <c r="G22" s="465">
        <f t="shared" si="6"/>
        <v>11.5</v>
      </c>
      <c r="H22" s="465">
        <v>127.788</v>
      </c>
      <c r="I22" s="485">
        <v>133.88900000000001</v>
      </c>
      <c r="J22" s="465">
        <f t="shared" si="11"/>
        <v>4.8</v>
      </c>
      <c r="K22" s="575">
        <v>587.83100000000002</v>
      </c>
      <c r="L22" s="576">
        <v>745.10599999999999</v>
      </c>
      <c r="M22" s="575">
        <f t="shared" si="12"/>
        <v>26.8</v>
      </c>
      <c r="N22" s="577"/>
      <c r="O22" s="578"/>
      <c r="P22" s="465"/>
      <c r="Q22" s="575">
        <v>9146.6826252700012</v>
      </c>
      <c r="R22" s="576">
        <v>9081.6802842199995</v>
      </c>
      <c r="S22" s="465">
        <f t="shared" si="0"/>
        <v>-0.7</v>
      </c>
      <c r="T22" s="575"/>
      <c r="U22" s="576"/>
      <c r="V22" s="465"/>
      <c r="W22" s="575">
        <v>8369.91</v>
      </c>
      <c r="X22" s="576">
        <v>9227.85</v>
      </c>
      <c r="Y22" s="465">
        <f t="shared" si="13"/>
        <v>10.3</v>
      </c>
      <c r="Z22" s="575">
        <v>1645</v>
      </c>
      <c r="AA22" s="576">
        <v>1645</v>
      </c>
      <c r="AB22" s="465">
        <f t="shared" si="7"/>
        <v>0</v>
      </c>
      <c r="AC22" s="575"/>
      <c r="AD22" s="576"/>
      <c r="AE22" s="465"/>
      <c r="AF22" s="575">
        <v>426.28238836999998</v>
      </c>
      <c r="AG22" s="576"/>
      <c r="AH22" s="465">
        <f t="shared" si="14"/>
        <v>-100</v>
      </c>
      <c r="AI22" s="575">
        <v>2968.58</v>
      </c>
      <c r="AJ22" s="576">
        <v>3419.444</v>
      </c>
      <c r="AK22" s="465">
        <f t="shared" si="1"/>
        <v>15.2</v>
      </c>
      <c r="AL22" s="575">
        <v>12261</v>
      </c>
      <c r="AM22" s="576">
        <v>14829</v>
      </c>
      <c r="AN22" s="465">
        <f t="shared" si="8"/>
        <v>20.9</v>
      </c>
      <c r="AO22" s="575">
        <f t="shared" si="2"/>
        <v>58751.471013640003</v>
      </c>
      <c r="AP22" s="576">
        <f t="shared" si="2"/>
        <v>65022.70928422</v>
      </c>
      <c r="AQ22" s="465">
        <f t="shared" si="3"/>
        <v>10.7</v>
      </c>
      <c r="AR22" s="575">
        <f t="shared" si="4"/>
        <v>58751.471013640003</v>
      </c>
      <c r="AS22" s="576">
        <f t="shared" si="4"/>
        <v>65022.70928422</v>
      </c>
      <c r="AT22" s="485">
        <f t="shared" si="5"/>
        <v>10.7</v>
      </c>
      <c r="AU22" s="579"/>
      <c r="AV22" s="579"/>
    </row>
    <row r="23" spans="1:49" s="486" customFormat="1" ht="20.100000000000001" customHeight="1" x14ac:dyDescent="0.3">
      <c r="A23" s="458" t="s">
        <v>216</v>
      </c>
      <c r="B23" s="465"/>
      <c r="C23" s="485"/>
      <c r="D23" s="465"/>
      <c r="E23" s="465">
        <v>7.9</v>
      </c>
      <c r="F23" s="485">
        <v>3.4540000000000002</v>
      </c>
      <c r="G23" s="465">
        <f t="shared" si="6"/>
        <v>-56.3</v>
      </c>
      <c r="H23" s="465"/>
      <c r="I23" s="485"/>
      <c r="J23" s="465"/>
      <c r="K23" s="575"/>
      <c r="L23" s="576"/>
      <c r="M23" s="575"/>
      <c r="N23" s="577"/>
      <c r="O23" s="578"/>
      <c r="P23" s="465"/>
      <c r="Q23" s="575">
        <v>1571.4434767</v>
      </c>
      <c r="R23" s="576">
        <v>1578.4408151</v>
      </c>
      <c r="S23" s="465">
        <f t="shared" si="0"/>
        <v>0.4</v>
      </c>
      <c r="T23" s="575">
        <v>15.5</v>
      </c>
      <c r="U23" s="576">
        <v>11.2</v>
      </c>
      <c r="V23" s="465">
        <f t="shared" si="10"/>
        <v>-27.7</v>
      </c>
      <c r="W23" s="575">
        <v>0.99</v>
      </c>
      <c r="X23" s="576">
        <v>160.33000000000001</v>
      </c>
      <c r="Y23" s="465">
        <f t="shared" si="13"/>
        <v>999</v>
      </c>
      <c r="Z23" s="575"/>
      <c r="AA23" s="576"/>
      <c r="AB23" s="465"/>
      <c r="AC23" s="575"/>
      <c r="AD23" s="576"/>
      <c r="AE23" s="465"/>
      <c r="AF23" s="575">
        <v>1.8631998700000001</v>
      </c>
      <c r="AG23" s="576"/>
      <c r="AH23" s="465">
        <f t="shared" si="14"/>
        <v>-100</v>
      </c>
      <c r="AI23" s="575"/>
      <c r="AJ23" s="576"/>
      <c r="AK23" s="465"/>
      <c r="AL23" s="575"/>
      <c r="AM23" s="576"/>
      <c r="AN23" s="465"/>
      <c r="AO23" s="575">
        <f t="shared" si="2"/>
        <v>1597.6966765700001</v>
      </c>
      <c r="AP23" s="576">
        <f t="shared" si="2"/>
        <v>1753.4248150999999</v>
      </c>
      <c r="AQ23" s="465">
        <f t="shared" si="3"/>
        <v>9.6999999999999993</v>
      </c>
      <c r="AR23" s="575">
        <f t="shared" si="4"/>
        <v>1597.6966765700001</v>
      </c>
      <c r="AS23" s="576">
        <f t="shared" si="4"/>
        <v>1753.4248150999999</v>
      </c>
      <c r="AT23" s="485">
        <f t="shared" si="5"/>
        <v>9.6999999999999993</v>
      </c>
      <c r="AU23" s="579"/>
      <c r="AV23" s="579"/>
    </row>
    <row r="24" spans="1:49" s="486" customFormat="1" ht="20.100000000000001" customHeight="1" x14ac:dyDescent="0.3">
      <c r="A24" s="458" t="s">
        <v>217</v>
      </c>
      <c r="B24" s="465"/>
      <c r="C24" s="485"/>
      <c r="D24" s="465"/>
      <c r="E24" s="465"/>
      <c r="F24" s="485"/>
      <c r="G24" s="465"/>
      <c r="H24" s="465"/>
      <c r="I24" s="485"/>
      <c r="J24" s="465"/>
      <c r="K24" s="575"/>
      <c r="L24" s="576"/>
      <c r="M24" s="575"/>
      <c r="N24" s="577"/>
      <c r="O24" s="578"/>
      <c r="P24" s="465"/>
      <c r="Q24" s="575">
        <v>797.73303114999999</v>
      </c>
      <c r="R24" s="576">
        <v>523.82104969</v>
      </c>
      <c r="S24" s="465">
        <f t="shared" si="0"/>
        <v>-34.299999999999997</v>
      </c>
      <c r="T24" s="575"/>
      <c r="U24" s="576"/>
      <c r="V24" s="465"/>
      <c r="W24" s="575"/>
      <c r="X24" s="576"/>
      <c r="Y24" s="465"/>
      <c r="Z24" s="575">
        <v>17</v>
      </c>
      <c r="AA24" s="576">
        <v>16</v>
      </c>
      <c r="AB24" s="465">
        <f t="shared" si="7"/>
        <v>-5.9</v>
      </c>
      <c r="AC24" s="575"/>
      <c r="AD24" s="576"/>
      <c r="AE24" s="465"/>
      <c r="AF24" s="575"/>
      <c r="AG24" s="576"/>
      <c r="AH24" s="465" t="str">
        <f t="shared" si="14"/>
        <v xml:space="preserve">    ---- </v>
      </c>
      <c r="AI24" s="575">
        <v>0</v>
      </c>
      <c r="AJ24" s="576">
        <v>4.8000000000000001E-2</v>
      </c>
      <c r="AK24" s="465" t="str">
        <f t="shared" si="1"/>
        <v xml:space="preserve">    ---- </v>
      </c>
      <c r="AL24" s="575">
        <v>1263</v>
      </c>
      <c r="AM24" s="576">
        <v>959.2</v>
      </c>
      <c r="AN24" s="465">
        <f t="shared" si="8"/>
        <v>-24.1</v>
      </c>
      <c r="AO24" s="575">
        <f>B24+E24+H24+K24+Q24+T24+W24+Z24+AF24+AI24+AL24</f>
        <v>2077.73303115</v>
      </c>
      <c r="AP24" s="576">
        <f t="shared" si="2"/>
        <v>1499.0690496900002</v>
      </c>
      <c r="AQ24" s="465">
        <f t="shared" si="3"/>
        <v>-27.9</v>
      </c>
      <c r="AR24" s="575">
        <f t="shared" si="4"/>
        <v>2077.73303115</v>
      </c>
      <c r="AS24" s="576">
        <f t="shared" si="4"/>
        <v>1499.0690496900002</v>
      </c>
      <c r="AT24" s="485">
        <f t="shared" si="5"/>
        <v>-27.9</v>
      </c>
      <c r="AU24" s="579"/>
      <c r="AV24" s="579"/>
    </row>
    <row r="25" spans="1:49" s="486" customFormat="1" ht="20.100000000000001" customHeight="1" x14ac:dyDescent="0.3">
      <c r="A25" s="458" t="s">
        <v>218</v>
      </c>
      <c r="B25" s="465"/>
      <c r="C25" s="485"/>
      <c r="D25" s="465"/>
      <c r="E25" s="465">
        <v>27.1</v>
      </c>
      <c r="F25" s="485">
        <v>11.090999999999999</v>
      </c>
      <c r="G25" s="465">
        <f t="shared" si="6"/>
        <v>-59.1</v>
      </c>
      <c r="H25" s="465">
        <v>17.443999999999999</v>
      </c>
      <c r="I25" s="485">
        <v>20.062000000000001</v>
      </c>
      <c r="J25" s="465">
        <f t="shared" si="11"/>
        <v>15</v>
      </c>
      <c r="K25" s="575">
        <v>95.631</v>
      </c>
      <c r="L25" s="576">
        <v>96.963999999999999</v>
      </c>
      <c r="M25" s="575">
        <f t="shared" si="12"/>
        <v>1.4</v>
      </c>
      <c r="N25" s="577"/>
      <c r="O25" s="578"/>
      <c r="P25" s="465"/>
      <c r="Q25" s="575">
        <v>22.048802339999998</v>
      </c>
      <c r="R25" s="576">
        <v>0.68233376000000001</v>
      </c>
      <c r="S25" s="465">
        <f t="shared" si="0"/>
        <v>-96.9</v>
      </c>
      <c r="T25" s="575"/>
      <c r="U25" s="576"/>
      <c r="V25" s="465"/>
      <c r="W25" s="575">
        <v>0</v>
      </c>
      <c r="X25" s="576">
        <v>15</v>
      </c>
      <c r="Y25" s="465" t="str">
        <f t="shared" si="13"/>
        <v xml:space="preserve">    ---- </v>
      </c>
      <c r="Z25" s="575"/>
      <c r="AA25" s="576"/>
      <c r="AB25" s="465"/>
      <c r="AC25" s="575"/>
      <c r="AD25" s="576"/>
      <c r="AE25" s="465"/>
      <c r="AF25" s="575"/>
      <c r="AG25" s="576"/>
      <c r="AH25" s="465"/>
      <c r="AI25" s="575">
        <v>131.31299999999999</v>
      </c>
      <c r="AJ25" s="576">
        <v>242.19</v>
      </c>
      <c r="AK25" s="465">
        <f t="shared" si="1"/>
        <v>84.4</v>
      </c>
      <c r="AL25" s="575"/>
      <c r="AM25" s="576"/>
      <c r="AN25" s="465"/>
      <c r="AO25" s="575">
        <f t="shared" si="2"/>
        <v>293.53680234000001</v>
      </c>
      <c r="AP25" s="576">
        <f t="shared" si="2"/>
        <v>385.98933376000002</v>
      </c>
      <c r="AQ25" s="465">
        <f t="shared" si="3"/>
        <v>31.5</v>
      </c>
      <c r="AR25" s="575">
        <f t="shared" si="4"/>
        <v>293.53680234000001</v>
      </c>
      <c r="AS25" s="576">
        <f t="shared" si="4"/>
        <v>385.98933376000002</v>
      </c>
      <c r="AT25" s="485">
        <f t="shared" si="5"/>
        <v>31.5</v>
      </c>
      <c r="AU25" s="579"/>
      <c r="AV25" s="579"/>
    </row>
    <row r="26" spans="1:49" s="486" customFormat="1" ht="20.100000000000001" customHeight="1" x14ac:dyDescent="0.3">
      <c r="A26" s="458" t="s">
        <v>219</v>
      </c>
      <c r="B26" s="465"/>
      <c r="C26" s="485"/>
      <c r="D26" s="465"/>
      <c r="E26" s="465"/>
      <c r="F26" s="485"/>
      <c r="G26" s="465"/>
      <c r="H26" s="465"/>
      <c r="I26" s="485"/>
      <c r="J26" s="465"/>
      <c r="K26" s="575"/>
      <c r="L26" s="576"/>
      <c r="M26" s="575"/>
      <c r="N26" s="577"/>
      <c r="O26" s="578"/>
      <c r="P26" s="465"/>
      <c r="Q26" s="575"/>
      <c r="R26" s="576"/>
      <c r="S26" s="465"/>
      <c r="T26" s="575"/>
      <c r="U26" s="576"/>
      <c r="V26" s="465"/>
      <c r="W26" s="575"/>
      <c r="X26" s="576"/>
      <c r="Y26" s="465"/>
      <c r="Z26" s="575"/>
      <c r="AA26" s="576"/>
      <c r="AB26" s="465"/>
      <c r="AC26" s="575"/>
      <c r="AD26" s="576"/>
      <c r="AE26" s="465"/>
      <c r="AF26" s="575">
        <v>2.2809589400000001</v>
      </c>
      <c r="AG26" s="576"/>
      <c r="AH26" s="465">
        <f t="shared" si="14"/>
        <v>-100</v>
      </c>
      <c r="AI26" s="575"/>
      <c r="AJ26" s="576"/>
      <c r="AK26" s="465"/>
      <c r="AL26" s="575"/>
      <c r="AM26" s="576"/>
      <c r="AN26" s="465"/>
      <c r="AO26" s="575">
        <f t="shared" si="2"/>
        <v>2.2809589400000001</v>
      </c>
      <c r="AP26" s="576">
        <f t="shared" si="2"/>
        <v>0</v>
      </c>
      <c r="AQ26" s="465">
        <f t="shared" si="3"/>
        <v>-100</v>
      </c>
      <c r="AR26" s="575">
        <f t="shared" si="4"/>
        <v>2.2809589400000001</v>
      </c>
      <c r="AS26" s="576">
        <f t="shared" si="4"/>
        <v>0</v>
      </c>
      <c r="AT26" s="485">
        <f t="shared" si="5"/>
        <v>-100</v>
      </c>
      <c r="AU26" s="579"/>
      <c r="AV26" s="579"/>
    </row>
    <row r="27" spans="1:49" s="486" customFormat="1" ht="20.100000000000001" customHeight="1" x14ac:dyDescent="0.3">
      <c r="A27" s="525" t="s">
        <v>220</v>
      </c>
      <c r="B27" s="465">
        <v>157.905</v>
      </c>
      <c r="C27" s="485">
        <f>SUM(C14+C15+C16+C20+C26)</f>
        <v>234.99900000000002</v>
      </c>
      <c r="D27" s="465">
        <f>IF(B27=0, "    ---- ", IF(ABS(ROUND(100/B27*C27-100,1))&lt;999,ROUND(100/B27*C27-100,1),IF(ROUND(100/B27*C27-100,1)&gt;999,999,-999)))</f>
        <v>48.8</v>
      </c>
      <c r="E27" s="465">
        <v>29127.24</v>
      </c>
      <c r="F27" s="485">
        <f>SUM(F14+F15+F16+F20+F26)</f>
        <v>30566.511000000002</v>
      </c>
      <c r="G27" s="465">
        <f t="shared" si="6"/>
        <v>4.9000000000000004</v>
      </c>
      <c r="H27" s="465">
        <v>192.92099999999996</v>
      </c>
      <c r="I27" s="485">
        <f>SUM(I14+I15+I16+I20+I26)</f>
        <v>212.73100000000002</v>
      </c>
      <c r="J27" s="465">
        <f t="shared" si="11"/>
        <v>10.3</v>
      </c>
      <c r="K27" s="575">
        <v>699.95100000000002</v>
      </c>
      <c r="L27" s="576">
        <f>SUM(L14+L15+L16+L20+L26)</f>
        <v>899.2</v>
      </c>
      <c r="M27" s="575">
        <f t="shared" si="12"/>
        <v>28.5</v>
      </c>
      <c r="N27" s="577"/>
      <c r="O27" s="578"/>
      <c r="P27" s="465"/>
      <c r="Q27" s="575">
        <v>31889.136200989997</v>
      </c>
      <c r="R27" s="576">
        <f>SUM(R14+R15+R16+R20+R26)</f>
        <v>34778.704647339997</v>
      </c>
      <c r="S27" s="465">
        <f t="shared" si="0"/>
        <v>9.1</v>
      </c>
      <c r="T27" s="575">
        <v>319.2</v>
      </c>
      <c r="U27" s="576">
        <f>SUM(U14+U15+U16+U20+U26)</f>
        <v>526.6</v>
      </c>
      <c r="V27" s="465">
        <f t="shared" si="10"/>
        <v>65</v>
      </c>
      <c r="W27" s="575">
        <v>8379.56</v>
      </c>
      <c r="X27" s="576">
        <f>SUM(X14+X15+X16+X20+X26)</f>
        <v>9410.64</v>
      </c>
      <c r="Y27" s="465">
        <f t="shared" si="13"/>
        <v>12.3</v>
      </c>
      <c r="Z27" s="575">
        <v>7859</v>
      </c>
      <c r="AA27" s="576">
        <f>SUM(AA14+AA15+AA16+AA20+AA26)</f>
        <v>8430</v>
      </c>
      <c r="AB27" s="465">
        <f t="shared" si="7"/>
        <v>7.3</v>
      </c>
      <c r="AC27" s="575"/>
      <c r="AD27" s="576"/>
      <c r="AE27" s="465"/>
      <c r="AF27" s="575">
        <v>430.42654707999998</v>
      </c>
      <c r="AG27" s="576">
        <f>SUM(AG14+AG15+AG16+AG20+AG26)</f>
        <v>0</v>
      </c>
      <c r="AH27" s="465">
        <f t="shared" si="14"/>
        <v>-100</v>
      </c>
      <c r="AI27" s="575">
        <v>4870.1409999999996</v>
      </c>
      <c r="AJ27" s="576">
        <f>SUM(AJ14+AJ15+AJ16+AJ20+AJ26)</f>
        <v>5773.933</v>
      </c>
      <c r="AK27" s="465">
        <f t="shared" si="1"/>
        <v>18.600000000000001</v>
      </c>
      <c r="AL27" s="575">
        <v>30114</v>
      </c>
      <c r="AM27" s="576">
        <f>SUM(AM14+AM15+AM16+AM20+AM26)</f>
        <v>32251</v>
      </c>
      <c r="AN27" s="465">
        <f t="shared" si="8"/>
        <v>7.1</v>
      </c>
      <c r="AO27" s="575">
        <f t="shared" si="2"/>
        <v>114039.48074807</v>
      </c>
      <c r="AP27" s="576">
        <f t="shared" si="2"/>
        <v>123084.31864734001</v>
      </c>
      <c r="AQ27" s="465">
        <f t="shared" si="3"/>
        <v>7.9</v>
      </c>
      <c r="AR27" s="575">
        <f t="shared" si="4"/>
        <v>114039.48074807</v>
      </c>
      <c r="AS27" s="576">
        <f t="shared" si="4"/>
        <v>123084.31864734001</v>
      </c>
      <c r="AT27" s="485">
        <f t="shared" si="5"/>
        <v>7.9</v>
      </c>
      <c r="AU27" s="579"/>
      <c r="AV27" s="468"/>
    </row>
    <row r="28" spans="1:49" s="486" customFormat="1" ht="20.100000000000001" customHeight="1" x14ac:dyDescent="0.3">
      <c r="A28" s="458" t="s">
        <v>221</v>
      </c>
      <c r="B28" s="465">
        <v>169.571</v>
      </c>
      <c r="C28" s="485">
        <v>196.12799999999999</v>
      </c>
      <c r="D28" s="465">
        <f>IF(B28=0, "    ---- ", IF(ABS(ROUND(100/B28*C28-100,1))&lt;999,ROUND(100/B28*C28-100,1),IF(ROUND(100/B28*C28-100,1)&gt;999,999,-999)))</f>
        <v>15.7</v>
      </c>
      <c r="E28" s="465">
        <v>795.4</v>
      </c>
      <c r="F28" s="485">
        <v>779</v>
      </c>
      <c r="G28" s="465">
        <f t="shared" si="6"/>
        <v>-2.1</v>
      </c>
      <c r="H28" s="465">
        <v>197.327</v>
      </c>
      <c r="I28" s="485">
        <v>212.637</v>
      </c>
      <c r="J28" s="465">
        <f t="shared" si="11"/>
        <v>7.8</v>
      </c>
      <c r="K28" s="575">
        <v>419.399</v>
      </c>
      <c r="L28" s="576">
        <v>204.10599999999999</v>
      </c>
      <c r="M28" s="575">
        <f t="shared" si="12"/>
        <v>-51.3</v>
      </c>
      <c r="N28" s="577">
        <v>138</v>
      </c>
      <c r="O28" s="578">
        <v>140</v>
      </c>
      <c r="P28" s="465">
        <f t="shared" ref="P28" si="15">IF(N28=0, "    ---- ", IF(ABS(ROUND(100/N28*O28-100,1))&lt;999,ROUND(100/N28*O28-100,1),IF(ROUND(100/N28*O28-100,1)&gt;999,999,-999)))</f>
        <v>1.4</v>
      </c>
      <c r="Q28" s="575">
        <v>11209.363023739999</v>
      </c>
      <c r="R28" s="576">
        <v>10005.29963781</v>
      </c>
      <c r="S28" s="465">
        <f t="shared" si="0"/>
        <v>-10.7</v>
      </c>
      <c r="T28" s="575">
        <v>33.5</v>
      </c>
      <c r="U28" s="576">
        <v>23.8</v>
      </c>
      <c r="V28" s="465">
        <f t="shared" si="10"/>
        <v>-29</v>
      </c>
      <c r="W28" s="575">
        <v>690</v>
      </c>
      <c r="X28" s="576">
        <v>195.5</v>
      </c>
      <c r="Y28" s="465">
        <f t="shared" si="13"/>
        <v>-71.7</v>
      </c>
      <c r="Z28" s="575">
        <v>1000</v>
      </c>
      <c r="AA28" s="576">
        <v>1144</v>
      </c>
      <c r="AB28" s="465">
        <f t="shared" si="7"/>
        <v>14.4</v>
      </c>
      <c r="AC28" s="575">
        <v>29</v>
      </c>
      <c r="AD28" s="576">
        <v>43</v>
      </c>
      <c r="AE28" s="465">
        <f>IF(AC28=0, "    ---- ", IF(ABS(ROUND(100/AC28*AD28-100,1))&lt;999,ROUND(100/AC28*AD28-100,1),IF(ROUND(100/AC28*AD28-100,1)&gt;999,999,-999)))</f>
        <v>48.3</v>
      </c>
      <c r="AF28" s="575">
        <v>4.7184173899999999</v>
      </c>
      <c r="AG28" s="576"/>
      <c r="AH28" s="465">
        <f t="shared" si="14"/>
        <v>-100</v>
      </c>
      <c r="AI28" s="575">
        <v>585.11599999999999</v>
      </c>
      <c r="AJ28" s="576">
        <v>560.10199999999998</v>
      </c>
      <c r="AK28" s="465">
        <f t="shared" si="1"/>
        <v>-4.3</v>
      </c>
      <c r="AL28" s="575">
        <v>4467</v>
      </c>
      <c r="AM28" s="576">
        <v>2197</v>
      </c>
      <c r="AN28" s="465">
        <f t="shared" si="8"/>
        <v>-50.8</v>
      </c>
      <c r="AO28" s="575">
        <f t="shared" si="2"/>
        <v>19571.39444113</v>
      </c>
      <c r="AP28" s="576">
        <f t="shared" si="2"/>
        <v>15517.572637809999</v>
      </c>
      <c r="AQ28" s="465">
        <f t="shared" si="3"/>
        <v>-20.7</v>
      </c>
      <c r="AR28" s="575">
        <f t="shared" si="4"/>
        <v>19738.39444113</v>
      </c>
      <c r="AS28" s="576">
        <f t="shared" si="4"/>
        <v>15700.572637809999</v>
      </c>
      <c r="AT28" s="485">
        <f t="shared" si="5"/>
        <v>-20.5</v>
      </c>
      <c r="AU28" s="579"/>
      <c r="AV28" s="468"/>
    </row>
    <row r="29" spans="1:49" s="486" customFormat="1" ht="20.100000000000001" customHeight="1" x14ac:dyDescent="0.3">
      <c r="A29" s="458" t="s">
        <v>222</v>
      </c>
      <c r="B29" s="465">
        <v>327.476</v>
      </c>
      <c r="C29" s="485">
        <f>SUM(C27+C28)</f>
        <v>431.12700000000001</v>
      </c>
      <c r="D29" s="465">
        <f>IF(B29=0, "    ---- ", IF(ABS(ROUND(100/B29*C29-100,1))&lt;999,ROUND(100/B29*C29-100,1),IF(ROUND(100/B29*C29-100,1)&gt;999,999,-999)))</f>
        <v>31.7</v>
      </c>
      <c r="E29" s="465">
        <v>29922.640000000003</v>
      </c>
      <c r="F29" s="485">
        <f>SUM(F27+F28)</f>
        <v>31345.511000000002</v>
      </c>
      <c r="G29" s="465">
        <f>IF(E29=0, "    ---- ", IF(ABS(ROUND(100/E29*F29-100,1))&lt;999,ROUND(100/E29*F29-100,1),IF(ROUND(100/E29*F29-100,1)&gt;999,999,-999)))</f>
        <v>4.8</v>
      </c>
      <c r="H29" s="465">
        <v>390.24799999999993</v>
      </c>
      <c r="I29" s="485">
        <f>SUM(I27+I28)</f>
        <v>425.36800000000005</v>
      </c>
      <c r="J29" s="465">
        <f>IF(H29=0, "    ---- ", IF(ABS(ROUND(100/H29*I29-100,1))&lt;999,ROUND(100/H29*I29-100,1),IF(ROUND(100/H29*I29-100,1)&gt;999,999,-999)))</f>
        <v>9</v>
      </c>
      <c r="K29" s="465">
        <v>1119.3499999999999</v>
      </c>
      <c r="L29" s="485">
        <f>SUM(L27+L28)</f>
        <v>1103.306</v>
      </c>
      <c r="M29" s="465">
        <f>IF(K29=0, "    ---- ", IF(ABS(ROUND(100/K29*L29-100,1))&lt;999,ROUND(100/K29*L29-100,1),IF(ROUND(100/K29*L29-100,1)&gt;999,999,-999)))</f>
        <v>-1.4</v>
      </c>
      <c r="N29" s="465">
        <v>138</v>
      </c>
      <c r="O29" s="485">
        <f>SUM(O27+O28)</f>
        <v>140</v>
      </c>
      <c r="P29" s="465">
        <f>IF(N29=0, "    ---- ", IF(ABS(ROUND(100/N29*O29-100,1))&lt;999,ROUND(100/N29*O29-100,1),IF(ROUND(100/N29*O29-100,1)&gt;999,999,-999)))</f>
        <v>1.4</v>
      </c>
      <c r="Q29" s="465">
        <v>43098.499224729996</v>
      </c>
      <c r="R29" s="485">
        <f>SUM(R27+R28)</f>
        <v>44784.004285149997</v>
      </c>
      <c r="S29" s="465">
        <f>IF(Q29=0, "    ---- ", IF(ABS(ROUND(100/Q29*R29-100,1))&lt;999,ROUND(100/Q29*R29-100,1),IF(ROUND(100/Q29*R29-100,1)&gt;999,999,-999)))</f>
        <v>3.9</v>
      </c>
      <c r="T29" s="465">
        <v>352.7</v>
      </c>
      <c r="U29" s="485">
        <f>SUM(U27+U28)</f>
        <v>550.4</v>
      </c>
      <c r="V29" s="465">
        <f>IF(T29=0, "    ---- ", IF(ABS(ROUND(100/T29*U29-100,1))&lt;999,ROUND(100/T29*U29-100,1),IF(ROUND(100/T29*U29-100,1)&gt;999,999,-999)))</f>
        <v>56.1</v>
      </c>
      <c r="W29" s="465">
        <v>9069.56</v>
      </c>
      <c r="X29" s="485">
        <f>SUM(X27+X28)</f>
        <v>9606.14</v>
      </c>
      <c r="Y29" s="465">
        <f>IF(W29=0, "    ---- ", IF(ABS(ROUND(100/W29*X29-100,1))&lt;999,ROUND(100/W29*X29-100,1),IF(ROUND(100/W29*X29-100,1)&gt;999,999,-999)))</f>
        <v>5.9</v>
      </c>
      <c r="Z29" s="465">
        <v>8859</v>
      </c>
      <c r="AA29" s="485">
        <f>SUM(AA27+AA28)</f>
        <v>9574</v>
      </c>
      <c r="AB29" s="465">
        <f>IF(Z29=0, "    ---- ", IF(ABS(ROUND(100/Z29*AA29-100,1))&lt;999,ROUND(100/Z29*AA29-100,1),IF(ROUND(100/Z29*AA29-100,1)&gt;999,999,-999)))</f>
        <v>8.1</v>
      </c>
      <c r="AC29" s="465">
        <v>29</v>
      </c>
      <c r="AD29" s="485">
        <f>SUM(AD27+AD28)</f>
        <v>43</v>
      </c>
      <c r="AE29" s="465">
        <f>IF(AC29=0, "    ---- ", IF(ABS(ROUND(100/AC29*AD29-100,1))&lt;999,ROUND(100/AC29*AD29-100,1),IF(ROUND(100/AC29*AD29-100,1)&gt;999,999,-999)))</f>
        <v>48.3</v>
      </c>
      <c r="AF29" s="465">
        <v>435.14496446999999</v>
      </c>
      <c r="AG29" s="485">
        <f>SUM(AG27+AG28)</f>
        <v>0</v>
      </c>
      <c r="AH29" s="465">
        <f>IF(AF29=0, "    ---- ", IF(ABS(ROUND(100/AF29*AG29-100,1))&lt;999,ROUND(100/AF29*AG29-100,1),IF(ROUND(100/AF29*AG29-100,1)&gt;999,999,-999)))</f>
        <v>-100</v>
      </c>
      <c r="AI29" s="465">
        <v>5455.2569999999996</v>
      </c>
      <c r="AJ29" s="485">
        <f>SUM(AJ27+AJ28)</f>
        <v>6334.0349999999999</v>
      </c>
      <c r="AK29" s="465">
        <f>IF(AI29=0, "    ---- ", IF(ABS(ROUND(100/AI29*AJ29-100,1))&lt;999,ROUND(100/AI29*AJ29-100,1),IF(ROUND(100/AI29*AJ29-100,1)&gt;999,999,-999)))</f>
        <v>16.100000000000001</v>
      </c>
      <c r="AL29" s="465">
        <v>34581</v>
      </c>
      <c r="AM29" s="485">
        <f>SUM(AM27+AM28)</f>
        <v>34448</v>
      </c>
      <c r="AN29" s="465">
        <f>IF(AL29=0, "    ---- ", IF(ABS(ROUND(100/AL29*AM29-100,1))&lt;999,ROUND(100/AL29*AM29-100,1),IF(ROUND(100/AL29*AM29-100,1)&gt;999,999,-999)))</f>
        <v>-0.4</v>
      </c>
      <c r="AO29" s="575">
        <f t="shared" si="2"/>
        <v>133610.87518919999</v>
      </c>
      <c r="AP29" s="576">
        <f t="shared" si="2"/>
        <v>138601.89128514999</v>
      </c>
      <c r="AQ29" s="465">
        <f>IF(AO29=0, "    ---- ", IF(ABS(ROUND(100/AO29*AP29-100,1))&lt;999,ROUND(100/AO29*AP29-100,1),IF(ROUND(100/AO29*AP29-100,1)&gt;999,999,-999)))</f>
        <v>3.7</v>
      </c>
      <c r="AR29" s="575">
        <f>B29+E29+H29+K29+N29+Q29+T29+W29+Z29+AC29+AF29+AI29+AL29</f>
        <v>133777.87518919999</v>
      </c>
      <c r="AS29" s="576">
        <f t="shared" si="4"/>
        <v>138784.89128514999</v>
      </c>
      <c r="AT29" s="580">
        <f t="shared" si="5"/>
        <v>3.7</v>
      </c>
      <c r="AU29" s="579"/>
      <c r="AV29" s="468"/>
      <c r="AW29" s="581"/>
    </row>
    <row r="30" spans="1:49" s="427" customFormat="1" ht="20.100000000000001" customHeight="1" x14ac:dyDescent="0.3">
      <c r="A30" s="458"/>
      <c r="B30" s="459"/>
      <c r="C30" s="460"/>
      <c r="D30" s="469"/>
      <c r="E30" s="459"/>
      <c r="F30" s="460"/>
      <c r="G30" s="469"/>
      <c r="H30" s="459"/>
      <c r="I30" s="460"/>
      <c r="J30" s="469"/>
      <c r="K30" s="469"/>
      <c r="L30" s="470"/>
      <c r="M30" s="459"/>
      <c r="N30" s="459"/>
      <c r="O30" s="460"/>
      <c r="P30" s="461"/>
      <c r="Q30" s="459"/>
      <c r="R30" s="460"/>
      <c r="S30" s="461"/>
      <c r="T30" s="459"/>
      <c r="U30" s="460"/>
      <c r="V30" s="461"/>
      <c r="W30" s="459"/>
      <c r="X30" s="460"/>
      <c r="Y30" s="461"/>
      <c r="Z30" s="459"/>
      <c r="AA30" s="460"/>
      <c r="AB30" s="461"/>
      <c r="AC30" s="459"/>
      <c r="AD30" s="460"/>
      <c r="AE30" s="461"/>
      <c r="AF30" s="459"/>
      <c r="AG30" s="460"/>
      <c r="AH30" s="461"/>
      <c r="AI30" s="459"/>
      <c r="AJ30" s="460"/>
      <c r="AK30" s="461"/>
      <c r="AL30" s="459"/>
      <c r="AM30" s="460"/>
      <c r="AN30" s="461"/>
      <c r="AO30" s="459"/>
      <c r="AP30" s="460"/>
      <c r="AQ30" s="461"/>
      <c r="AR30" s="459"/>
      <c r="AS30" s="460"/>
      <c r="AT30" s="582"/>
      <c r="AU30" s="430"/>
      <c r="AV30" s="430"/>
    </row>
    <row r="31" spans="1:49" s="427" customFormat="1" ht="20.100000000000001" customHeight="1" x14ac:dyDescent="0.3">
      <c r="A31" s="492" t="s">
        <v>223</v>
      </c>
      <c r="B31" s="469"/>
      <c r="C31" s="470"/>
      <c r="D31" s="469"/>
      <c r="E31" s="469"/>
      <c r="F31" s="470"/>
      <c r="G31" s="469"/>
      <c r="H31" s="469"/>
      <c r="I31" s="470"/>
      <c r="J31" s="469"/>
      <c r="K31" s="469"/>
      <c r="L31" s="470"/>
      <c r="M31" s="459"/>
      <c r="N31" s="469"/>
      <c r="O31" s="470"/>
      <c r="P31" s="461"/>
      <c r="Q31" s="469"/>
      <c r="R31" s="470"/>
      <c r="S31" s="461"/>
      <c r="T31" s="469"/>
      <c r="U31" s="470"/>
      <c r="V31" s="461"/>
      <c r="W31" s="469"/>
      <c r="X31" s="470"/>
      <c r="Y31" s="461"/>
      <c r="Z31" s="469"/>
      <c r="AA31" s="470"/>
      <c r="AB31" s="461"/>
      <c r="AC31" s="469"/>
      <c r="AD31" s="470"/>
      <c r="AE31" s="461"/>
      <c r="AF31" s="469"/>
      <c r="AG31" s="470"/>
      <c r="AH31" s="461"/>
      <c r="AI31" s="469"/>
      <c r="AJ31" s="470"/>
      <c r="AK31" s="461"/>
      <c r="AL31" s="469"/>
      <c r="AM31" s="470"/>
      <c r="AN31" s="461"/>
      <c r="AO31" s="459"/>
      <c r="AP31" s="460"/>
      <c r="AQ31" s="461"/>
      <c r="AR31" s="459"/>
      <c r="AS31" s="460"/>
      <c r="AT31" s="582"/>
      <c r="AU31" s="430"/>
      <c r="AV31" s="430"/>
    </row>
    <row r="32" spans="1:49" s="427" customFormat="1" ht="20.100000000000001" customHeight="1" x14ac:dyDescent="0.3">
      <c r="A32" s="492" t="s">
        <v>224</v>
      </c>
      <c r="B32" s="469"/>
      <c r="C32" s="470"/>
      <c r="D32" s="461"/>
      <c r="E32" s="469"/>
      <c r="F32" s="470"/>
      <c r="G32" s="461"/>
      <c r="H32" s="469"/>
      <c r="I32" s="470"/>
      <c r="J32" s="461"/>
      <c r="K32" s="469"/>
      <c r="L32" s="470"/>
      <c r="M32" s="459"/>
      <c r="N32" s="469"/>
      <c r="O32" s="470"/>
      <c r="P32" s="461"/>
      <c r="Q32" s="469"/>
      <c r="R32" s="470"/>
      <c r="S32" s="461"/>
      <c r="T32" s="469"/>
      <c r="U32" s="470"/>
      <c r="V32" s="461"/>
      <c r="W32" s="469"/>
      <c r="X32" s="470"/>
      <c r="Y32" s="461"/>
      <c r="Z32" s="469"/>
      <c r="AA32" s="470"/>
      <c r="AB32" s="461"/>
      <c r="AC32" s="469"/>
      <c r="AD32" s="470"/>
      <c r="AE32" s="461"/>
      <c r="AF32" s="469"/>
      <c r="AG32" s="470"/>
      <c r="AH32" s="461"/>
      <c r="AI32" s="469"/>
      <c r="AJ32" s="470"/>
      <c r="AK32" s="461"/>
      <c r="AL32" s="469"/>
      <c r="AM32" s="470"/>
      <c r="AN32" s="461"/>
      <c r="AO32" s="459"/>
      <c r="AP32" s="460"/>
      <c r="AQ32" s="461"/>
      <c r="AR32" s="459"/>
      <c r="AS32" s="460"/>
      <c r="AT32" s="582"/>
      <c r="AU32" s="430"/>
      <c r="AV32" s="430"/>
    </row>
    <row r="33" spans="1:49" s="427" customFormat="1" ht="20.100000000000001" customHeight="1" x14ac:dyDescent="0.3">
      <c r="A33" s="458" t="s">
        <v>225</v>
      </c>
      <c r="B33" s="469"/>
      <c r="C33" s="470"/>
      <c r="D33" s="469"/>
      <c r="E33" s="469">
        <v>15.3</v>
      </c>
      <c r="F33" s="470">
        <v>33.582000000000001</v>
      </c>
      <c r="G33" s="469">
        <f t="shared" ref="G33:G91" si="16">IF(E33=0, "    ---- ", IF(ABS(ROUND(100/E33*F33-100,1))&lt;999,ROUND(100/E33*F33-100,1),IF(ROUND(100/E33*F33-100,1)&gt;999,999,-999)))</f>
        <v>119.5</v>
      </c>
      <c r="H33" s="469"/>
      <c r="I33" s="470"/>
      <c r="J33" s="469"/>
      <c r="K33" s="469"/>
      <c r="L33" s="470"/>
      <c r="M33" s="459"/>
      <c r="N33" s="469"/>
      <c r="O33" s="470"/>
      <c r="P33" s="461"/>
      <c r="Q33" s="469"/>
      <c r="R33" s="470"/>
      <c r="S33" s="461"/>
      <c r="T33" s="469"/>
      <c r="U33" s="470"/>
      <c r="V33" s="461"/>
      <c r="W33" s="469"/>
      <c r="X33" s="470"/>
      <c r="Y33" s="461"/>
      <c r="Z33" s="469"/>
      <c r="AA33" s="470"/>
      <c r="AB33" s="461"/>
      <c r="AC33" s="469"/>
      <c r="AD33" s="470"/>
      <c r="AE33" s="461"/>
      <c r="AF33" s="469"/>
      <c r="AG33" s="470"/>
      <c r="AH33" s="461"/>
      <c r="AI33" s="469">
        <v>1.0049999999999999</v>
      </c>
      <c r="AJ33" s="470">
        <v>0.98099999999999998</v>
      </c>
      <c r="AK33" s="461">
        <f t="shared" ref="AK33:AK91" si="17">IF(AI33=0, "    ---- ", IF(ABS(ROUND(100/AI33*AJ33-100,1))&lt;999,ROUND(100/AI33*AJ33-100,1),IF(ROUND(100/AI33*AJ33-100,1)&gt;999,999,-999)))</f>
        <v>-2.4</v>
      </c>
      <c r="AL33" s="469"/>
      <c r="AM33" s="470"/>
      <c r="AN33" s="461"/>
      <c r="AO33" s="459">
        <f t="shared" ref="AO33:AP46" si="18">B33+E33+H33+K33+Q33+T33+W33+Z33+AF33+AI33+AL33</f>
        <v>16.305</v>
      </c>
      <c r="AP33" s="460">
        <f t="shared" si="18"/>
        <v>34.563000000000002</v>
      </c>
      <c r="AQ33" s="461">
        <f t="shared" ref="AQ33:AQ91" si="19">IF(AO33=0, "    ---- ", IF(ABS(ROUND(100/AO33*AP33-100,1))&lt;999,ROUND(100/AO33*AP33-100,1),IF(ROUND(100/AO33*AP33-100,1)&gt;999,999,-999)))</f>
        <v>112</v>
      </c>
      <c r="AR33" s="459">
        <f t="shared" ref="AR33:AS91" si="20">B33+E33+H33+K33+N33+Q33+T33+W33+Z33+AC33+AF33+AI33+AL33</f>
        <v>16.305</v>
      </c>
      <c r="AS33" s="460">
        <f t="shared" si="20"/>
        <v>34.563000000000002</v>
      </c>
      <c r="AT33" s="582">
        <f t="shared" ref="AT33:AT91" si="21">IF(AR33=0, "    ---- ", IF(ABS(ROUND(100/AR33*AS33-100,1))&lt;999,ROUND(100/AR33*AS33-100,1),IF(ROUND(100/AR33*AS33-100,1)&gt;999,999,-999)))</f>
        <v>112</v>
      </c>
      <c r="AU33" s="430"/>
      <c r="AV33" s="430"/>
      <c r="AW33" s="468"/>
    </row>
    <row r="34" spans="1:49" s="427" customFormat="1" ht="20.100000000000001" customHeight="1" x14ac:dyDescent="0.3">
      <c r="A34" s="458" t="s">
        <v>226</v>
      </c>
      <c r="B34" s="469"/>
      <c r="C34" s="470"/>
      <c r="D34" s="469"/>
      <c r="E34" s="469">
        <v>19955.399999999998</v>
      </c>
      <c r="F34" s="470">
        <v>21222.58</v>
      </c>
      <c r="G34" s="469">
        <f t="shared" si="16"/>
        <v>6.4</v>
      </c>
      <c r="H34" s="469"/>
      <c r="I34" s="470"/>
      <c r="J34" s="469"/>
      <c r="K34" s="469"/>
      <c r="L34" s="470"/>
      <c r="M34" s="459"/>
      <c r="N34" s="469"/>
      <c r="O34" s="470"/>
      <c r="P34" s="461"/>
      <c r="Q34" s="469">
        <v>53049.356381999998</v>
      </c>
      <c r="R34" s="470">
        <v>56310.662799720005</v>
      </c>
      <c r="S34" s="461">
        <f>IF(Q34=0, "    ---- ", IF(ABS(ROUND(100/Q34*R34-100,1))&lt;999,ROUND(100/Q34*R34-100,1),IF(ROUND(100/Q34*R34-100,1)&gt;999,999,-999)))</f>
        <v>6.1</v>
      </c>
      <c r="T34" s="469">
        <v>185.9</v>
      </c>
      <c r="U34" s="470">
        <v>191.3</v>
      </c>
      <c r="V34" s="461">
        <f>IF(T34=0, "    ---- ", IF(ABS(ROUND(100/T34*U34-100,1))&lt;999,ROUND(100/T34*U34-100,1),IF(ROUND(100/T34*U34-100,1)&gt;999,999,-999)))</f>
        <v>2.9</v>
      </c>
      <c r="W34" s="469">
        <v>6624.5646654900002</v>
      </c>
      <c r="X34" s="470">
        <v>5269.2790937999998</v>
      </c>
      <c r="Y34" s="461">
        <f t="shared" ref="Y34:Y91" si="22">IF(W34=0, "    ---- ", IF(ABS(ROUND(100/W34*X34-100,1))&lt;999,ROUND(100/W34*X34-100,1),IF(ROUND(100/W34*X34-100,1)&gt;999,999,-999)))</f>
        <v>-20.5</v>
      </c>
      <c r="Z34" s="469">
        <v>12252</v>
      </c>
      <c r="AA34" s="470">
        <v>13312</v>
      </c>
      <c r="AB34" s="461">
        <f t="shared" ref="AB34:AB42" si="23">IF(Z34=0, "    ---- ", IF(ABS(ROUND(100/Z34*AA34-100,1))&lt;999,ROUND(100/Z34*AA34-100,1),IF(ROUND(100/Z34*AA34-100,1)&gt;999,999,-999)))</f>
        <v>8.6999999999999993</v>
      </c>
      <c r="AC34" s="469"/>
      <c r="AD34" s="470"/>
      <c r="AE34" s="461"/>
      <c r="AF34" s="469"/>
      <c r="AG34" s="470"/>
      <c r="AH34" s="461"/>
      <c r="AI34" s="469">
        <v>3561.8679999999999</v>
      </c>
      <c r="AJ34" s="470">
        <v>3620.201</v>
      </c>
      <c r="AK34" s="461">
        <f t="shared" si="17"/>
        <v>1.6</v>
      </c>
      <c r="AL34" s="469">
        <v>20626</v>
      </c>
      <c r="AM34" s="470">
        <v>21496</v>
      </c>
      <c r="AN34" s="461">
        <f t="shared" ref="AN34:AN91" si="24">IF(AL34=0, "    ---- ", IF(ABS(ROUND(100/AL34*AM34-100,1))&lt;999,ROUND(100/AL34*AM34-100,1),IF(ROUND(100/AL34*AM34-100,1)&gt;999,999,-999)))</f>
        <v>4.2</v>
      </c>
      <c r="AO34" s="459">
        <f t="shared" si="18"/>
        <v>116255.08904748999</v>
      </c>
      <c r="AP34" s="460">
        <f t="shared" si="18"/>
        <v>121422.02289352</v>
      </c>
      <c r="AQ34" s="461">
        <f t="shared" si="19"/>
        <v>4.4000000000000004</v>
      </c>
      <c r="AR34" s="459">
        <f t="shared" si="20"/>
        <v>116255.08904748999</v>
      </c>
      <c r="AS34" s="460">
        <f t="shared" si="20"/>
        <v>121422.02289352</v>
      </c>
      <c r="AT34" s="582">
        <f t="shared" si="21"/>
        <v>4.4000000000000004</v>
      </c>
      <c r="AU34" s="430"/>
      <c r="AV34" s="430"/>
      <c r="AW34" s="468"/>
    </row>
    <row r="35" spans="1:49" s="427" customFormat="1" ht="20.100000000000001" customHeight="1" x14ac:dyDescent="0.3">
      <c r="A35" s="458" t="s">
        <v>227</v>
      </c>
      <c r="B35" s="459"/>
      <c r="C35" s="470"/>
      <c r="D35" s="469"/>
      <c r="E35" s="469">
        <v>104776.5</v>
      </c>
      <c r="F35" s="470">
        <f>SUM(F36+F38)</f>
        <v>109593.93100000001</v>
      </c>
      <c r="G35" s="469">
        <f t="shared" si="16"/>
        <v>4.5999999999999996</v>
      </c>
      <c r="H35" s="469">
        <v>98.328000000000003</v>
      </c>
      <c r="I35" s="470">
        <f>SUM(I36+I38)</f>
        <v>143.506</v>
      </c>
      <c r="J35" s="469">
        <f t="shared" ref="J35:J37" si="25">IF(H35=0, "    ---- ", IF(ABS(ROUND(100/H35*I35-100,1))&lt;999,ROUND(100/H35*I35-100,1),IF(ROUND(100/H35*I35-100,1)&gt;999,999,-999)))</f>
        <v>45.9</v>
      </c>
      <c r="K35" s="469">
        <v>2992.491</v>
      </c>
      <c r="L35" s="470">
        <f>SUM(L36+L38)</f>
        <v>4464.1350000000002</v>
      </c>
      <c r="M35" s="459">
        <f>IF(K35=0, "    ---- ", IF(ABS(ROUND(100/K35*L35-100,1))&lt;999,ROUND(100/K35*L35-100,1),IF(ROUND(100/K35*L35-100,1)&gt;999,999,-999)))</f>
        <v>49.2</v>
      </c>
      <c r="N35" s="469"/>
      <c r="O35" s="470"/>
      <c r="P35" s="461"/>
      <c r="Q35" s="469">
        <v>167725.71504814998</v>
      </c>
      <c r="R35" s="470">
        <f>SUM(R36+R38)</f>
        <v>182347.53102997001</v>
      </c>
      <c r="S35" s="461">
        <f>IF(Q35=0, "    ---- ", IF(ABS(ROUND(100/Q35*R35-100,1))&lt;999,ROUND(100/Q35*R35-100,1),IF(ROUND(100/Q35*R35-100,1)&gt;999,999,-999)))</f>
        <v>8.6999999999999993</v>
      </c>
      <c r="T35" s="469">
        <v>741.4</v>
      </c>
      <c r="U35" s="470">
        <f>SUM(U36+U38)</f>
        <v>791.40000000000009</v>
      </c>
      <c r="V35" s="461">
        <f>IF(T35=0, "    ---- ", IF(ABS(ROUND(100/T35*U35-100,1))&lt;999,ROUND(100/T35*U35-100,1),IF(ROUND(100/T35*U35-100,1)&gt;999,999,-999)))</f>
        <v>6.7</v>
      </c>
      <c r="W35" s="469">
        <v>23537.424715190002</v>
      </c>
      <c r="X35" s="470">
        <f>SUM(X36+X38)</f>
        <v>28631.294195160001</v>
      </c>
      <c r="Y35" s="461">
        <f t="shared" si="22"/>
        <v>21.6</v>
      </c>
      <c r="Z35" s="469">
        <v>20447</v>
      </c>
      <c r="AA35" s="470">
        <f>SUM(AA36+AA38)</f>
        <v>21186</v>
      </c>
      <c r="AB35" s="461">
        <f t="shared" si="23"/>
        <v>3.6</v>
      </c>
      <c r="AC35" s="469"/>
      <c r="AD35" s="470"/>
      <c r="AE35" s="461"/>
      <c r="AF35" s="469">
        <v>1671.87096481</v>
      </c>
      <c r="AG35" s="470">
        <f>SUM(AG36+AG38)</f>
        <v>0</v>
      </c>
      <c r="AH35" s="461">
        <f>IF(AF35=0, "    ---- ", IF(ABS(ROUND(100/AF35*AG35-100,1))&lt;999,ROUND(100/AF35*AG35-100,1),IF(ROUND(100/AF35*AG35-100,1)&gt;999,999,-999)))</f>
        <v>-100</v>
      </c>
      <c r="AI35" s="469">
        <v>7124.1610000000001</v>
      </c>
      <c r="AJ35" s="470">
        <f>SUM(AJ36+AJ38)</f>
        <v>8009.5819999999994</v>
      </c>
      <c r="AK35" s="461">
        <f t="shared" si="17"/>
        <v>12.4</v>
      </c>
      <c r="AL35" s="469">
        <v>109194</v>
      </c>
      <c r="AM35" s="470">
        <f>SUM(AM36+AM38)</f>
        <v>120803</v>
      </c>
      <c r="AN35" s="461">
        <f t="shared" si="24"/>
        <v>10.6</v>
      </c>
      <c r="AO35" s="459">
        <f t="shared" si="18"/>
        <v>438308.89072815003</v>
      </c>
      <c r="AP35" s="460">
        <f t="shared" si="18"/>
        <v>475970.37922513002</v>
      </c>
      <c r="AQ35" s="461">
        <f t="shared" si="19"/>
        <v>8.6</v>
      </c>
      <c r="AR35" s="459">
        <f t="shared" si="20"/>
        <v>438308.89072815003</v>
      </c>
      <c r="AS35" s="460">
        <f t="shared" si="20"/>
        <v>475970.37922513002</v>
      </c>
      <c r="AT35" s="582">
        <f t="shared" si="21"/>
        <v>8.6</v>
      </c>
      <c r="AU35" s="430"/>
      <c r="AV35" s="468"/>
      <c r="AW35" s="468"/>
    </row>
    <row r="36" spans="1:49" s="427" customFormat="1" ht="20.100000000000001" customHeight="1" x14ac:dyDescent="0.3">
      <c r="A36" s="458" t="s">
        <v>228</v>
      </c>
      <c r="B36" s="469"/>
      <c r="C36" s="470"/>
      <c r="D36" s="461"/>
      <c r="E36" s="469">
        <v>81046.8</v>
      </c>
      <c r="F36" s="470">
        <v>75691.122000000003</v>
      </c>
      <c r="G36" s="461">
        <f t="shared" si="16"/>
        <v>-6.6</v>
      </c>
      <c r="H36" s="469">
        <v>98.328000000000003</v>
      </c>
      <c r="I36" s="470">
        <v>143.506</v>
      </c>
      <c r="J36" s="469">
        <f t="shared" si="25"/>
        <v>45.9</v>
      </c>
      <c r="K36" s="469">
        <v>34.72</v>
      </c>
      <c r="L36" s="470">
        <v>30.082000000000001</v>
      </c>
      <c r="M36" s="459">
        <f>IF(K36=0, "    ---- ", IF(ABS(ROUND(100/K36*L36-100,1))&lt;999,ROUND(100/K36*L36-100,1),IF(ROUND(100/K36*L36-100,1)&gt;999,999,-999)))</f>
        <v>-13.4</v>
      </c>
      <c r="N36" s="469"/>
      <c r="O36" s="470"/>
      <c r="P36" s="461"/>
      <c r="Q36" s="469">
        <v>26217.138410650001</v>
      </c>
      <c r="R36" s="470">
        <v>25435.78120397</v>
      </c>
      <c r="S36" s="461">
        <f>IF(Q36=0, "    ---- ", IF(ABS(ROUND(100/Q36*R36-100,1))&lt;999,ROUND(100/Q36*R36-100,1),IF(ROUND(100/Q36*R36-100,1)&gt;999,999,-999)))</f>
        <v>-3</v>
      </c>
      <c r="T36" s="469">
        <v>99.1</v>
      </c>
      <c r="U36" s="470">
        <v>82.7</v>
      </c>
      <c r="V36" s="461">
        <f>IF(T36=0, "    ---- ", IF(ABS(ROUND(100/T36*U36-100,1))&lt;999,ROUND(100/T36*U36-100,1),IF(ROUND(100/T36*U36-100,1)&gt;999,999,-999)))</f>
        <v>-16.5</v>
      </c>
      <c r="W36" s="469">
        <v>1036.6241849</v>
      </c>
      <c r="X36" s="470">
        <v>799.81528402999993</v>
      </c>
      <c r="Y36" s="461">
        <f t="shared" si="22"/>
        <v>-22.8</v>
      </c>
      <c r="Z36" s="469">
        <v>2742</v>
      </c>
      <c r="AA36" s="470">
        <v>1861</v>
      </c>
      <c r="AB36" s="461">
        <f t="shared" si="23"/>
        <v>-32.1</v>
      </c>
      <c r="AC36" s="469"/>
      <c r="AD36" s="470"/>
      <c r="AE36" s="461"/>
      <c r="AF36" s="469"/>
      <c r="AG36" s="470"/>
      <c r="AH36" s="461"/>
      <c r="AI36" s="469">
        <v>1969.4390000000001</v>
      </c>
      <c r="AJ36" s="470">
        <v>1426.0840000000001</v>
      </c>
      <c r="AK36" s="461">
        <f t="shared" si="17"/>
        <v>-27.6</v>
      </c>
      <c r="AL36" s="469">
        <v>15725</v>
      </c>
      <c r="AM36" s="470">
        <v>15720</v>
      </c>
      <c r="AN36" s="461">
        <f t="shared" si="24"/>
        <v>0</v>
      </c>
      <c r="AO36" s="459">
        <f t="shared" si="18"/>
        <v>128969.14959555001</v>
      </c>
      <c r="AP36" s="460">
        <f t="shared" si="18"/>
        <v>121190.09048799999</v>
      </c>
      <c r="AQ36" s="461">
        <f t="shared" si="19"/>
        <v>-6</v>
      </c>
      <c r="AR36" s="459">
        <f t="shared" si="20"/>
        <v>128969.14959555001</v>
      </c>
      <c r="AS36" s="460">
        <f t="shared" si="20"/>
        <v>121190.09048799999</v>
      </c>
      <c r="AT36" s="582">
        <f t="shared" si="21"/>
        <v>-6</v>
      </c>
      <c r="AU36" s="430"/>
      <c r="AV36" s="430"/>
      <c r="AW36" s="468"/>
    </row>
    <row r="37" spans="1:49" s="427" customFormat="1" ht="20.100000000000001" customHeight="1" x14ac:dyDescent="0.3">
      <c r="A37" s="458" t="s">
        <v>211</v>
      </c>
      <c r="B37" s="469"/>
      <c r="C37" s="470"/>
      <c r="D37" s="469"/>
      <c r="E37" s="469">
        <v>81046.8</v>
      </c>
      <c r="F37" s="470">
        <v>75691.122000000003</v>
      </c>
      <c r="G37" s="469">
        <f t="shared" si="16"/>
        <v>-6.6</v>
      </c>
      <c r="H37" s="469">
        <v>98.328000000000003</v>
      </c>
      <c r="I37" s="470">
        <v>143.506</v>
      </c>
      <c r="J37" s="469">
        <f t="shared" si="25"/>
        <v>45.9</v>
      </c>
      <c r="K37" s="469">
        <v>34.72</v>
      </c>
      <c r="L37" s="470">
        <v>30.082000000000001</v>
      </c>
      <c r="M37" s="459">
        <f>IF(K37=0, "    ---- ", IF(ABS(ROUND(100/K37*L37-100,1))&lt;999,ROUND(100/K37*L37-100,1),IF(ROUND(100/K37*L37-100,1)&gt;999,999,-999)))</f>
        <v>-13.4</v>
      </c>
      <c r="N37" s="469"/>
      <c r="O37" s="470"/>
      <c r="P37" s="461"/>
      <c r="Q37" s="469">
        <v>26217.138410650001</v>
      </c>
      <c r="R37" s="470">
        <v>25435.78120397</v>
      </c>
      <c r="S37" s="461">
        <f>IF(Q37=0, "    ---- ", IF(ABS(ROUND(100/Q37*R37-100,1))&lt;999,ROUND(100/Q37*R37-100,1),IF(ROUND(100/Q37*R37-100,1)&gt;999,999,-999)))</f>
        <v>-3</v>
      </c>
      <c r="T37" s="469"/>
      <c r="U37" s="470"/>
      <c r="V37" s="461"/>
      <c r="W37" s="469">
        <v>1036.6241849</v>
      </c>
      <c r="X37" s="470">
        <v>799.81528402999993</v>
      </c>
      <c r="Y37" s="461">
        <f t="shared" si="22"/>
        <v>-22.8</v>
      </c>
      <c r="Z37" s="469"/>
      <c r="AA37" s="470"/>
      <c r="AB37" s="461"/>
      <c r="AC37" s="469"/>
      <c r="AD37" s="470"/>
      <c r="AE37" s="461"/>
      <c r="AF37" s="469"/>
      <c r="AG37" s="470"/>
      <c r="AH37" s="461"/>
      <c r="AI37" s="469">
        <v>280.92096954999982</v>
      </c>
      <c r="AJ37" s="470">
        <v>180.96280496999915</v>
      </c>
      <c r="AK37" s="461">
        <f t="shared" si="17"/>
        <v>-35.6</v>
      </c>
      <c r="AL37" s="469">
        <v>15725</v>
      </c>
      <c r="AM37" s="470">
        <v>15720</v>
      </c>
      <c r="AN37" s="461">
        <f t="shared" si="24"/>
        <v>0</v>
      </c>
      <c r="AO37" s="459">
        <f t="shared" si="18"/>
        <v>124439.53156510001</v>
      </c>
      <c r="AP37" s="460">
        <f t="shared" si="18"/>
        <v>118001.26929296998</v>
      </c>
      <c r="AQ37" s="461">
        <f t="shared" si="19"/>
        <v>-5.2</v>
      </c>
      <c r="AR37" s="459">
        <f t="shared" si="20"/>
        <v>124439.53156510001</v>
      </c>
      <c r="AS37" s="460">
        <f t="shared" si="20"/>
        <v>118001.26929296998</v>
      </c>
      <c r="AT37" s="582">
        <f t="shared" si="21"/>
        <v>-5.2</v>
      </c>
      <c r="AU37" s="430"/>
      <c r="AV37" s="430"/>
      <c r="AW37" s="468"/>
    </row>
    <row r="38" spans="1:49" s="427" customFormat="1" ht="20.100000000000001" customHeight="1" x14ac:dyDescent="0.3">
      <c r="A38" s="458" t="s">
        <v>229</v>
      </c>
      <c r="B38" s="469"/>
      <c r="C38" s="470"/>
      <c r="D38" s="469"/>
      <c r="E38" s="469">
        <v>23729.7</v>
      </c>
      <c r="F38" s="470">
        <v>33902.809000000001</v>
      </c>
      <c r="G38" s="469"/>
      <c r="H38" s="469"/>
      <c r="I38" s="470"/>
      <c r="J38" s="469"/>
      <c r="K38" s="469">
        <v>2957.7710000000002</v>
      </c>
      <c r="L38" s="470">
        <v>4434.0529999999999</v>
      </c>
      <c r="M38" s="459">
        <f t="shared" ref="M38:M57" si="26">IF(K38=0, "    ---- ", IF(ABS(ROUND(100/K38*L38-100,1))&lt;999,ROUND(100/K38*L38-100,1),IF(ROUND(100/K38*L38-100,1)&gt;999,999,-999)))</f>
        <v>49.9</v>
      </c>
      <c r="N38" s="469"/>
      <c r="O38" s="470"/>
      <c r="P38" s="461"/>
      <c r="Q38" s="469">
        <v>141508.57663749999</v>
      </c>
      <c r="R38" s="470">
        <v>156911.74982600001</v>
      </c>
      <c r="S38" s="461">
        <f t="shared" ref="S38:S45" si="27">IF(Q38=0, "    ---- ", IF(ABS(ROUND(100/Q38*R38-100,1))&lt;999,ROUND(100/Q38*R38-100,1),IF(ROUND(100/Q38*R38-100,1)&gt;999,999,-999)))</f>
        <v>10.9</v>
      </c>
      <c r="T38" s="469">
        <v>642.29999999999995</v>
      </c>
      <c r="U38" s="470">
        <v>708.7</v>
      </c>
      <c r="V38" s="461">
        <f>IF(T38=0, "    ---- ", IF(ABS(ROUND(100/T38*U38-100,1))&lt;999,ROUND(100/T38*U38-100,1),IF(ROUND(100/T38*U38-100,1)&gt;999,999,-999)))</f>
        <v>10.3</v>
      </c>
      <c r="W38" s="469">
        <v>22500.800530290002</v>
      </c>
      <c r="X38" s="470">
        <v>27831.478911130002</v>
      </c>
      <c r="Y38" s="461">
        <f t="shared" si="22"/>
        <v>23.7</v>
      </c>
      <c r="Z38" s="469">
        <v>17705</v>
      </c>
      <c r="AA38" s="470">
        <v>19325</v>
      </c>
      <c r="AB38" s="461">
        <f t="shared" si="23"/>
        <v>9.1</v>
      </c>
      <c r="AC38" s="469"/>
      <c r="AD38" s="470"/>
      <c r="AE38" s="461"/>
      <c r="AF38" s="469">
        <v>1671.87096481</v>
      </c>
      <c r="AG38" s="470"/>
      <c r="AH38" s="461">
        <f t="shared" ref="AH38:AH46" si="28">IF(AF38=0, "    ---- ", IF(ABS(ROUND(100/AF38*AG38-100,1))&lt;999,ROUND(100/AF38*AG38-100,1),IF(ROUND(100/AF38*AG38-100,1)&gt;999,999,-999)))</f>
        <v>-100</v>
      </c>
      <c r="AI38" s="469">
        <v>5154.7219999999998</v>
      </c>
      <c r="AJ38" s="470">
        <v>6583.4979999999996</v>
      </c>
      <c r="AK38" s="461">
        <f t="shared" si="17"/>
        <v>27.7</v>
      </c>
      <c r="AL38" s="469">
        <v>93469</v>
      </c>
      <c r="AM38" s="470">
        <v>105083</v>
      </c>
      <c r="AN38" s="461">
        <f t="shared" si="24"/>
        <v>12.4</v>
      </c>
      <c r="AO38" s="459">
        <f t="shared" si="18"/>
        <v>309339.7411326</v>
      </c>
      <c r="AP38" s="460">
        <f t="shared" si="18"/>
        <v>354780.28873713</v>
      </c>
      <c r="AQ38" s="461">
        <f t="shared" si="19"/>
        <v>14.7</v>
      </c>
      <c r="AR38" s="459">
        <f t="shared" si="20"/>
        <v>309339.7411326</v>
      </c>
      <c r="AS38" s="460">
        <f t="shared" si="20"/>
        <v>354780.28873713</v>
      </c>
      <c r="AT38" s="582">
        <f t="shared" si="21"/>
        <v>14.7</v>
      </c>
      <c r="AU38" s="430"/>
      <c r="AV38" s="430"/>
      <c r="AW38" s="468"/>
    </row>
    <row r="39" spans="1:49" s="427" customFormat="1" ht="20.100000000000001" customHeight="1" x14ac:dyDescent="0.3">
      <c r="A39" s="458" t="s">
        <v>230</v>
      </c>
      <c r="B39" s="459">
        <v>921.55499999999995</v>
      </c>
      <c r="C39" s="470">
        <f>SUM(C40:C44)</f>
        <v>1007.1450000000001</v>
      </c>
      <c r="D39" s="469">
        <f>IF(B39=0, "    ---- ", IF(ABS(ROUND(100/B39*C39-100,1))&lt;999,ROUND(100/B39*C39-100,1),IF(ROUND(100/B39*C39-100,1)&gt;999,999,-999)))</f>
        <v>9.3000000000000007</v>
      </c>
      <c r="E39" s="469">
        <v>84393.5</v>
      </c>
      <c r="F39" s="470">
        <f>SUM(F40:F44)</f>
        <v>79003.539000000004</v>
      </c>
      <c r="G39" s="469">
        <f t="shared" si="16"/>
        <v>-6.4</v>
      </c>
      <c r="H39" s="469">
        <v>633.15</v>
      </c>
      <c r="I39" s="470">
        <f>SUM(I40:I44)</f>
        <v>736.69299999999998</v>
      </c>
      <c r="J39" s="469">
        <f t="shared" ref="J39:J46" si="29">IF(H39=0, "    ---- ", IF(ABS(ROUND(100/H39*I39-100,1))&lt;999,ROUND(100/H39*I39-100,1),IF(ROUND(100/H39*I39-100,1)&gt;999,999,-999)))</f>
        <v>16.399999999999999</v>
      </c>
      <c r="K39" s="469">
        <v>2236.3090000000002</v>
      </c>
      <c r="L39" s="470">
        <f>SUM(L40:L44)</f>
        <v>1383.4690000000001</v>
      </c>
      <c r="M39" s="459">
        <f t="shared" si="26"/>
        <v>-38.1</v>
      </c>
      <c r="N39" s="469"/>
      <c r="O39" s="470"/>
      <c r="P39" s="461"/>
      <c r="Q39" s="469">
        <v>227170.26649705999</v>
      </c>
      <c r="R39" s="470">
        <f>SUM(R40:R44)</f>
        <v>241716.82828933001</v>
      </c>
      <c r="S39" s="461">
        <f t="shared" si="27"/>
        <v>6.4</v>
      </c>
      <c r="T39" s="469">
        <v>607.5</v>
      </c>
      <c r="U39" s="470">
        <f>SUM(U40:U44)</f>
        <v>626.69999999999993</v>
      </c>
      <c r="V39" s="461">
        <f>IF(T39=0, "    ---- ", IF(ABS(ROUND(100/T39*U39-100,1))&lt;999,ROUND(100/T39*U39-100,1),IF(ROUND(100/T39*U39-100,1)&gt;999,999,-999)))</f>
        <v>3.2</v>
      </c>
      <c r="W39" s="469">
        <v>19400.616030489997</v>
      </c>
      <c r="X39" s="470">
        <f>SUM(X40:X44)</f>
        <v>16762.251791639901</v>
      </c>
      <c r="Y39" s="461">
        <f t="shared" si="22"/>
        <v>-13.6</v>
      </c>
      <c r="Z39" s="469">
        <v>41037</v>
      </c>
      <c r="AA39" s="470">
        <f>SUM(AA40:AA44)</f>
        <v>45626</v>
      </c>
      <c r="AB39" s="461">
        <f t="shared" si="23"/>
        <v>11.2</v>
      </c>
      <c r="AC39" s="469"/>
      <c r="AD39" s="470"/>
      <c r="AE39" s="461"/>
      <c r="AF39" s="469">
        <v>6978.04047472</v>
      </c>
      <c r="AG39" s="470">
        <f>SUM(AG40:AG44)</f>
        <v>0</v>
      </c>
      <c r="AH39" s="461">
        <f t="shared" si="28"/>
        <v>-100</v>
      </c>
      <c r="AI39" s="469">
        <v>9794.6319999999996</v>
      </c>
      <c r="AJ39" s="470">
        <f>SUM(AJ40:AJ44)</f>
        <v>10290.647999999999</v>
      </c>
      <c r="AK39" s="461">
        <f t="shared" si="17"/>
        <v>5.0999999999999996</v>
      </c>
      <c r="AL39" s="469">
        <v>57341</v>
      </c>
      <c r="AM39" s="470">
        <f>SUM(AM40:AM44)</f>
        <v>44107</v>
      </c>
      <c r="AN39" s="461">
        <f t="shared" si="24"/>
        <v>-23.1</v>
      </c>
      <c r="AO39" s="459">
        <f t="shared" si="18"/>
        <v>450513.56900226994</v>
      </c>
      <c r="AP39" s="460">
        <f t="shared" si="18"/>
        <v>441260.27408096992</v>
      </c>
      <c r="AQ39" s="461">
        <f t="shared" si="19"/>
        <v>-2.1</v>
      </c>
      <c r="AR39" s="459">
        <f t="shared" si="20"/>
        <v>450513.56900226994</v>
      </c>
      <c r="AS39" s="460">
        <f t="shared" si="20"/>
        <v>441260.27408096992</v>
      </c>
      <c r="AT39" s="582">
        <f t="shared" si="21"/>
        <v>-2.1</v>
      </c>
      <c r="AU39" s="430"/>
      <c r="AV39" s="468"/>
      <c r="AW39" s="468"/>
    </row>
    <row r="40" spans="1:49" s="427" customFormat="1" ht="20.100000000000001" customHeight="1" x14ac:dyDescent="0.3">
      <c r="A40" s="458" t="s">
        <v>231</v>
      </c>
      <c r="B40" s="469">
        <v>20.923999999999999</v>
      </c>
      <c r="C40" s="470">
        <v>24.701000000000001</v>
      </c>
      <c r="D40" s="461">
        <f>IF(B40=0, "    ---- ", IF(ABS(ROUND(100/B40*C40-100,1))&lt;999,ROUND(100/B40*C40-100,1),IF(ROUND(100/B40*C40-100,1)&gt;999,999,-999)))</f>
        <v>18.100000000000001</v>
      </c>
      <c r="E40" s="469">
        <v>11725.4</v>
      </c>
      <c r="F40" s="470">
        <v>15283.816000000001</v>
      </c>
      <c r="G40" s="461">
        <f t="shared" si="16"/>
        <v>30.3</v>
      </c>
      <c r="H40" s="469">
        <v>82.491</v>
      </c>
      <c r="I40" s="470">
        <v>99.703999999999994</v>
      </c>
      <c r="J40" s="461">
        <f t="shared" si="29"/>
        <v>20.9</v>
      </c>
      <c r="K40" s="469">
        <v>419.73</v>
      </c>
      <c r="L40" s="470">
        <v>758.13400000000001</v>
      </c>
      <c r="M40" s="459">
        <f>IF(K40=0, "    ---- ", IF(ABS(ROUND(100/K40*L40-100,1))&lt;999,ROUND(100/K40*L40-100,1),IF(ROUND(100/K40*L40-100,1)&gt;999,999,-999)))</f>
        <v>80.599999999999994</v>
      </c>
      <c r="N40" s="469"/>
      <c r="O40" s="470"/>
      <c r="P40" s="461"/>
      <c r="Q40" s="469">
        <v>85791.404126110006</v>
      </c>
      <c r="R40" s="470">
        <v>103749.01836574</v>
      </c>
      <c r="S40" s="461">
        <f t="shared" si="27"/>
        <v>20.9</v>
      </c>
      <c r="T40" s="469">
        <v>162.9</v>
      </c>
      <c r="U40" s="470">
        <v>206.2</v>
      </c>
      <c r="V40" s="461">
        <f>IF(T40=0, "    ---- ", IF(ABS(ROUND(100/T40*U40-100,1))&lt;999,ROUND(100/T40*U40-100,1),IF(ROUND(100/T40*U40-100,1)&gt;999,999,-999)))</f>
        <v>26.6</v>
      </c>
      <c r="W40" s="469">
        <v>4712.7593793100004</v>
      </c>
      <c r="X40" s="470">
        <v>5319.4300994799996</v>
      </c>
      <c r="Y40" s="461">
        <f t="shared" si="22"/>
        <v>12.9</v>
      </c>
      <c r="Z40" s="469">
        <v>21082</v>
      </c>
      <c r="AA40" s="470">
        <v>24986</v>
      </c>
      <c r="AB40" s="461">
        <f t="shared" si="23"/>
        <v>18.5</v>
      </c>
      <c r="AC40" s="469"/>
      <c r="AD40" s="470"/>
      <c r="AE40" s="461"/>
      <c r="AF40" s="469">
        <v>1230.79620228</v>
      </c>
      <c r="AG40" s="470"/>
      <c r="AH40" s="461">
        <f t="shared" si="28"/>
        <v>-100</v>
      </c>
      <c r="AI40" s="469">
        <v>2600.4299999999998</v>
      </c>
      <c r="AJ40" s="470">
        <v>2939.7550000000001</v>
      </c>
      <c r="AK40" s="461">
        <f t="shared" si="17"/>
        <v>13</v>
      </c>
      <c r="AL40" s="469">
        <v>9889</v>
      </c>
      <c r="AM40" s="470">
        <v>12827.3</v>
      </c>
      <c r="AN40" s="461">
        <f t="shared" si="24"/>
        <v>29.7</v>
      </c>
      <c r="AO40" s="459">
        <f t="shared" si="18"/>
        <v>137717.83470770001</v>
      </c>
      <c r="AP40" s="460">
        <f t="shared" si="18"/>
        <v>166194.05846521998</v>
      </c>
      <c r="AQ40" s="461">
        <f t="shared" si="19"/>
        <v>20.7</v>
      </c>
      <c r="AR40" s="459">
        <f t="shared" si="20"/>
        <v>137717.83470770001</v>
      </c>
      <c r="AS40" s="460">
        <f t="shared" si="20"/>
        <v>166194.05846521998</v>
      </c>
      <c r="AT40" s="582">
        <f t="shared" si="21"/>
        <v>20.7</v>
      </c>
      <c r="AU40" s="430"/>
      <c r="AV40" s="430"/>
      <c r="AW40" s="468"/>
    </row>
    <row r="41" spans="1:49" s="427" customFormat="1" ht="20.100000000000001" customHeight="1" x14ac:dyDescent="0.3">
      <c r="A41" s="458" t="s">
        <v>232</v>
      </c>
      <c r="B41" s="469">
        <v>877.06500000000005</v>
      </c>
      <c r="C41" s="470">
        <v>924.66800000000001</v>
      </c>
      <c r="D41" s="469">
        <f>IF(B41=0, "    ---- ", IF(ABS(ROUND(100/B41*C41-100,1))&lt;999,ROUND(100/B41*C41-100,1),IF(ROUND(100/B41*C41-100,1)&gt;999,999,-999)))</f>
        <v>5.4</v>
      </c>
      <c r="E41" s="469">
        <v>67829.100000000006</v>
      </c>
      <c r="F41" s="470">
        <v>59921.279000000002</v>
      </c>
      <c r="G41" s="469">
        <f t="shared" si="16"/>
        <v>-11.7</v>
      </c>
      <c r="H41" s="469">
        <v>484.51799999999997</v>
      </c>
      <c r="I41" s="470">
        <v>553.97900000000004</v>
      </c>
      <c r="J41" s="469">
        <f>IF(H41=0, "    ---- ", IF(ABS(ROUND(100/H41*I41-100,1))&lt;999,ROUND(100/H41*I41-100,1),IF(ROUND(100/H41*I41-100,1)&gt;999,999,-999)))</f>
        <v>14.3</v>
      </c>
      <c r="K41" s="469">
        <v>1594.181</v>
      </c>
      <c r="L41" s="470">
        <v>591.83100000000002</v>
      </c>
      <c r="M41" s="459">
        <f t="shared" si="26"/>
        <v>-62.9</v>
      </c>
      <c r="N41" s="469"/>
      <c r="O41" s="470"/>
      <c r="P41" s="461"/>
      <c r="Q41" s="469">
        <v>123878.29227288</v>
      </c>
      <c r="R41" s="470">
        <v>124554.33144947</v>
      </c>
      <c r="S41" s="461">
        <f t="shared" si="27"/>
        <v>0.5</v>
      </c>
      <c r="T41" s="469">
        <v>441.9</v>
      </c>
      <c r="U41" s="470">
        <v>409.6</v>
      </c>
      <c r="V41" s="461">
        <f>IF(T41=0, "    ---- ", IF(ABS(ROUND(100/T41*U41-100,1))&lt;999,ROUND(100/T41*U41-100,1),IF(ROUND(100/T41*U41-100,1)&gt;999,999,-999)))</f>
        <v>-7.3</v>
      </c>
      <c r="W41" s="469">
        <v>13700.878882749999</v>
      </c>
      <c r="X41" s="470">
        <v>10889.2173563099</v>
      </c>
      <c r="Y41" s="461">
        <f t="shared" si="22"/>
        <v>-20.5</v>
      </c>
      <c r="Z41" s="469">
        <v>18036</v>
      </c>
      <c r="AA41" s="470">
        <v>18373</v>
      </c>
      <c r="AB41" s="461">
        <f t="shared" si="23"/>
        <v>1.9</v>
      </c>
      <c r="AC41" s="469"/>
      <c r="AD41" s="470"/>
      <c r="AE41" s="461"/>
      <c r="AF41" s="469">
        <v>5716.73833156</v>
      </c>
      <c r="AG41" s="470"/>
      <c r="AH41" s="461">
        <f t="shared" si="28"/>
        <v>-100</v>
      </c>
      <c r="AI41" s="469">
        <v>7021.5240000000003</v>
      </c>
      <c r="AJ41" s="470">
        <v>7217.6139999999996</v>
      </c>
      <c r="AK41" s="461">
        <f t="shared" si="17"/>
        <v>2.8</v>
      </c>
      <c r="AL41" s="469">
        <v>46512</v>
      </c>
      <c r="AM41" s="470">
        <v>30914.400000000001</v>
      </c>
      <c r="AN41" s="461">
        <f t="shared" si="24"/>
        <v>-33.5</v>
      </c>
      <c r="AO41" s="459">
        <f t="shared" si="18"/>
        <v>286092.19748719002</v>
      </c>
      <c r="AP41" s="460">
        <f t="shared" si="18"/>
        <v>254349.91980577991</v>
      </c>
      <c r="AQ41" s="461">
        <f t="shared" si="19"/>
        <v>-11.1</v>
      </c>
      <c r="AR41" s="459">
        <f t="shared" si="20"/>
        <v>286092.19748719002</v>
      </c>
      <c r="AS41" s="460">
        <f t="shared" si="20"/>
        <v>254349.91980577991</v>
      </c>
      <c r="AT41" s="582">
        <f t="shared" si="21"/>
        <v>-11.1</v>
      </c>
      <c r="AU41" s="430"/>
      <c r="AV41" s="430"/>
      <c r="AW41" s="468"/>
    </row>
    <row r="42" spans="1:49" s="427" customFormat="1" ht="20.100000000000001" customHeight="1" x14ac:dyDescent="0.3">
      <c r="A42" s="458" t="s">
        <v>233</v>
      </c>
      <c r="B42" s="469"/>
      <c r="C42" s="470"/>
      <c r="D42" s="469"/>
      <c r="E42" s="469">
        <v>3052</v>
      </c>
      <c r="F42" s="470">
        <v>2776.5610000000001</v>
      </c>
      <c r="G42" s="469">
        <f t="shared" si="16"/>
        <v>-9</v>
      </c>
      <c r="H42" s="469"/>
      <c r="I42" s="470"/>
      <c r="J42" s="469"/>
      <c r="K42" s="469">
        <v>6.2050000000000001</v>
      </c>
      <c r="L42" s="470">
        <v>2.75</v>
      </c>
      <c r="M42" s="459">
        <f t="shared" si="26"/>
        <v>-55.7</v>
      </c>
      <c r="N42" s="469"/>
      <c r="O42" s="470"/>
      <c r="P42" s="461"/>
      <c r="Q42" s="469">
        <v>8039.5328806899997</v>
      </c>
      <c r="R42" s="470">
        <v>8500.9135274300006</v>
      </c>
      <c r="S42" s="461">
        <f t="shared" si="27"/>
        <v>5.7</v>
      </c>
      <c r="T42" s="469">
        <v>2.7</v>
      </c>
      <c r="U42" s="470">
        <v>10.9</v>
      </c>
      <c r="V42" s="461">
        <f>IF(T42=0, "    ---- ", IF(ABS(ROUND(100/T42*U42-100,1))&lt;999,ROUND(100/T42*U42-100,1),IF(ROUND(100/T42*U42-100,1)&gt;999,999,-999)))</f>
        <v>303.7</v>
      </c>
      <c r="W42" s="469"/>
      <c r="X42" s="470"/>
      <c r="Y42" s="461"/>
      <c r="Z42" s="469">
        <v>196</v>
      </c>
      <c r="AA42" s="470">
        <v>53</v>
      </c>
      <c r="AB42" s="461">
        <f t="shared" si="23"/>
        <v>-73</v>
      </c>
      <c r="AC42" s="469"/>
      <c r="AD42" s="470"/>
      <c r="AE42" s="461"/>
      <c r="AF42" s="469">
        <v>5.54206179</v>
      </c>
      <c r="AG42" s="470"/>
      <c r="AH42" s="461">
        <f t="shared" si="28"/>
        <v>-100</v>
      </c>
      <c r="AI42" s="469"/>
      <c r="AJ42" s="470"/>
      <c r="AK42" s="461"/>
      <c r="AL42" s="469"/>
      <c r="AM42" s="470"/>
      <c r="AN42" s="461"/>
      <c r="AO42" s="459">
        <f t="shared" si="18"/>
        <v>11301.97994248</v>
      </c>
      <c r="AP42" s="460">
        <f t="shared" si="18"/>
        <v>11344.12452743</v>
      </c>
      <c r="AQ42" s="461">
        <f t="shared" si="19"/>
        <v>0.4</v>
      </c>
      <c r="AR42" s="459">
        <f t="shared" si="20"/>
        <v>11301.97994248</v>
      </c>
      <c r="AS42" s="460">
        <f t="shared" si="20"/>
        <v>11344.12452743</v>
      </c>
      <c r="AT42" s="582">
        <f t="shared" si="21"/>
        <v>0.4</v>
      </c>
      <c r="AU42" s="430"/>
      <c r="AV42" s="430"/>
      <c r="AW42" s="468"/>
    </row>
    <row r="43" spans="1:49" s="427" customFormat="1" ht="20.100000000000001" customHeight="1" x14ac:dyDescent="0.3">
      <c r="A43" s="458" t="s">
        <v>234</v>
      </c>
      <c r="B43" s="469">
        <v>0.622</v>
      </c>
      <c r="C43" s="470">
        <v>0.47399999999999998</v>
      </c>
      <c r="D43" s="469">
        <f>IF(B43=0, "    ---- ", IF(ABS(ROUND(100/B43*C43-100,1))&lt;999,ROUND(100/B43*C43-100,1),IF(ROUND(100/B43*C43-100,1)&gt;999,999,-999)))</f>
        <v>-23.8</v>
      </c>
      <c r="E43" s="469">
        <v>722.1</v>
      </c>
      <c r="F43" s="470">
        <v>203.80099999999999</v>
      </c>
      <c r="G43" s="469">
        <f t="shared" si="16"/>
        <v>-71.8</v>
      </c>
      <c r="H43" s="469"/>
      <c r="I43" s="470"/>
      <c r="J43" s="469"/>
      <c r="K43" s="469"/>
      <c r="L43" s="470"/>
      <c r="M43" s="459"/>
      <c r="N43" s="469"/>
      <c r="O43" s="470"/>
      <c r="P43" s="461"/>
      <c r="Q43" s="469">
        <v>4527.40905122</v>
      </c>
      <c r="R43" s="470">
        <v>1545.10504169</v>
      </c>
      <c r="S43" s="461">
        <f t="shared" si="27"/>
        <v>-65.900000000000006</v>
      </c>
      <c r="T43" s="469"/>
      <c r="U43" s="470"/>
      <c r="V43" s="461"/>
      <c r="W43" s="469">
        <v>492.64506452999996</v>
      </c>
      <c r="X43" s="470">
        <v>134.92660905000002</v>
      </c>
      <c r="Y43" s="461">
        <f t="shared" si="22"/>
        <v>-72.599999999999994</v>
      </c>
      <c r="Z43" s="469">
        <v>1018</v>
      </c>
      <c r="AA43" s="470">
        <v>105</v>
      </c>
      <c r="AB43" s="461">
        <f>IF(Z43=0, "    ---- ", IF(ABS(ROUND(100/Z43*AA43-100,1))&lt;999,ROUND(100/Z43*AA43-100,1),IF(ROUND(100/Z43*AA43-100,1)&gt;999,999,-999)))</f>
        <v>-89.7</v>
      </c>
      <c r="AC43" s="469"/>
      <c r="AD43" s="470"/>
      <c r="AE43" s="461"/>
      <c r="AF43" s="469"/>
      <c r="AG43" s="470"/>
      <c r="AH43" s="461"/>
      <c r="AI43" s="469">
        <v>74.016999999999996</v>
      </c>
      <c r="AJ43" s="470">
        <v>5.556</v>
      </c>
      <c r="AK43" s="461">
        <f t="shared" si="17"/>
        <v>-92.5</v>
      </c>
      <c r="AL43" s="469">
        <v>940</v>
      </c>
      <c r="AM43" s="470">
        <v>365.3</v>
      </c>
      <c r="AN43" s="461">
        <f t="shared" si="24"/>
        <v>-61.1</v>
      </c>
      <c r="AO43" s="459">
        <f t="shared" si="18"/>
        <v>7774.7931157499997</v>
      </c>
      <c r="AP43" s="460">
        <f t="shared" si="18"/>
        <v>2360.1626507400001</v>
      </c>
      <c r="AQ43" s="461">
        <f t="shared" si="19"/>
        <v>-69.599999999999994</v>
      </c>
      <c r="AR43" s="459">
        <f t="shared" si="20"/>
        <v>7774.7931157499997</v>
      </c>
      <c r="AS43" s="460">
        <f t="shared" si="20"/>
        <v>2360.1626507400001</v>
      </c>
      <c r="AT43" s="582">
        <f t="shared" si="21"/>
        <v>-69.599999999999994</v>
      </c>
      <c r="AU43" s="430"/>
      <c r="AV43" s="430"/>
      <c r="AW43" s="468"/>
    </row>
    <row r="44" spans="1:49" s="427" customFormat="1" ht="20.100000000000001" customHeight="1" x14ac:dyDescent="0.3">
      <c r="A44" s="458" t="s">
        <v>235</v>
      </c>
      <c r="B44" s="469">
        <v>22.943999999999999</v>
      </c>
      <c r="C44" s="470">
        <v>57.302</v>
      </c>
      <c r="D44" s="469">
        <f>IF(B44=0, "    ---- ", IF(ABS(ROUND(100/B44*C44-100,1))&lt;999,ROUND(100/B44*C44-100,1),IF(ROUND(100/B44*C44-100,1)&gt;999,999,-999)))</f>
        <v>149.69999999999999</v>
      </c>
      <c r="E44" s="469">
        <v>1064.9000000000001</v>
      </c>
      <c r="F44" s="470">
        <v>818.08199999999999</v>
      </c>
      <c r="G44" s="469">
        <f t="shared" si="16"/>
        <v>-23.2</v>
      </c>
      <c r="H44" s="469">
        <v>66.141000000000005</v>
      </c>
      <c r="I44" s="470">
        <v>83.01</v>
      </c>
      <c r="J44" s="469">
        <f t="shared" si="29"/>
        <v>25.5</v>
      </c>
      <c r="K44" s="469">
        <v>216.19300000000001</v>
      </c>
      <c r="L44" s="470">
        <v>30.754000000000001</v>
      </c>
      <c r="M44" s="459">
        <f t="shared" si="26"/>
        <v>-85.8</v>
      </c>
      <c r="N44" s="469"/>
      <c r="O44" s="470"/>
      <c r="P44" s="461"/>
      <c r="Q44" s="469">
        <v>4933.6281661599996</v>
      </c>
      <c r="R44" s="470">
        <v>3367.4599050000002</v>
      </c>
      <c r="S44" s="461">
        <f t="shared" si="27"/>
        <v>-31.7</v>
      </c>
      <c r="T44" s="469"/>
      <c r="U44" s="470"/>
      <c r="V44" s="461"/>
      <c r="W44" s="469">
        <v>494.33270389999996</v>
      </c>
      <c r="X44" s="470">
        <v>418.67772680000002</v>
      </c>
      <c r="Y44" s="461">
        <f t="shared" si="22"/>
        <v>-15.3</v>
      </c>
      <c r="Z44" s="469">
        <v>705</v>
      </c>
      <c r="AA44" s="470">
        <v>2109</v>
      </c>
      <c r="AB44" s="461">
        <f>IF(Z44=0, "    ---- ", IF(ABS(ROUND(100/Z44*AA44-100,1))&lt;999,ROUND(100/Z44*AA44-100,1),IF(ROUND(100/Z44*AA44-100,1)&gt;999,999,-999)))</f>
        <v>199.1</v>
      </c>
      <c r="AC44" s="469"/>
      <c r="AD44" s="470"/>
      <c r="AE44" s="461"/>
      <c r="AF44" s="469">
        <v>24.963879089999999</v>
      </c>
      <c r="AG44" s="470"/>
      <c r="AH44" s="461">
        <f t="shared" si="28"/>
        <v>-100</v>
      </c>
      <c r="AI44" s="469">
        <v>98.661000000000001</v>
      </c>
      <c r="AJ44" s="470">
        <v>127.723</v>
      </c>
      <c r="AK44" s="461">
        <f t="shared" si="17"/>
        <v>29.5</v>
      </c>
      <c r="AL44" s="469"/>
      <c r="AM44" s="470"/>
      <c r="AN44" s="461"/>
      <c r="AO44" s="459">
        <f t="shared" si="18"/>
        <v>7626.7637491499991</v>
      </c>
      <c r="AP44" s="460">
        <f t="shared" si="18"/>
        <v>7012.0086317999994</v>
      </c>
      <c r="AQ44" s="461">
        <f t="shared" si="19"/>
        <v>-8.1</v>
      </c>
      <c r="AR44" s="459">
        <f t="shared" si="20"/>
        <v>7626.7637491499991</v>
      </c>
      <c r="AS44" s="460">
        <f t="shared" si="20"/>
        <v>7012.0086317999994</v>
      </c>
      <c r="AT44" s="582">
        <f t="shared" si="21"/>
        <v>-8.1</v>
      </c>
      <c r="AU44" s="430"/>
      <c r="AV44" s="430"/>
      <c r="AW44" s="468"/>
    </row>
    <row r="45" spans="1:49" s="427" customFormat="1" ht="20.100000000000001" customHeight="1" x14ac:dyDescent="0.3">
      <c r="A45" s="525" t="s">
        <v>236</v>
      </c>
      <c r="B45" s="459">
        <v>921.55499999999995</v>
      </c>
      <c r="C45" s="470">
        <f>SUM(C33+C34+C35+C39)</f>
        <v>1007.1450000000001</v>
      </c>
      <c r="D45" s="461">
        <f>IF(B45=0, "    ---- ", IF(ABS(ROUND(100/B45*C45-100,1))&lt;999,ROUND(100/B45*C45-100,1),IF(ROUND(100/B45*C45-100,1)&gt;999,999,-999)))</f>
        <v>9.3000000000000007</v>
      </c>
      <c r="E45" s="469">
        <v>209140.7</v>
      </c>
      <c r="F45" s="470">
        <f>SUM(F33+F34+F35+F39)</f>
        <v>209853.63200000001</v>
      </c>
      <c r="G45" s="461">
        <f t="shared" si="16"/>
        <v>0.3</v>
      </c>
      <c r="H45" s="469">
        <v>731.47799999999995</v>
      </c>
      <c r="I45" s="470">
        <f>SUM(I33+I34+I35+I39)</f>
        <v>880.19899999999996</v>
      </c>
      <c r="J45" s="461">
        <f t="shared" si="29"/>
        <v>20.3</v>
      </c>
      <c r="K45" s="469">
        <v>5228.8</v>
      </c>
      <c r="L45" s="470">
        <f>SUM(L33+L34+L35+L39)</f>
        <v>5847.6040000000003</v>
      </c>
      <c r="M45" s="459">
        <f t="shared" si="26"/>
        <v>11.8</v>
      </c>
      <c r="N45" s="469"/>
      <c r="O45" s="470"/>
      <c r="P45" s="461"/>
      <c r="Q45" s="469">
        <v>447945.33792720997</v>
      </c>
      <c r="R45" s="470">
        <f>SUM(R33+R34+R35+R39)</f>
        <v>480375.02211902</v>
      </c>
      <c r="S45" s="461">
        <f t="shared" si="27"/>
        <v>7.2</v>
      </c>
      <c r="T45" s="469">
        <v>1534.8</v>
      </c>
      <c r="U45" s="470">
        <f>SUM(U33+U34+U35+U39)</f>
        <v>1609.4</v>
      </c>
      <c r="V45" s="461">
        <f>IF(T45=0, "    ---- ", IF(ABS(ROUND(100/T45*U45-100,1))&lt;999,ROUND(100/T45*U45-100,1),IF(ROUND(100/T45*U45-100,1)&gt;999,999,-999)))</f>
        <v>4.9000000000000004</v>
      </c>
      <c r="W45" s="469">
        <v>49562.605413140001</v>
      </c>
      <c r="X45" s="470">
        <f>SUM(X33+X34+X35+X39)</f>
        <v>50662.825080599905</v>
      </c>
      <c r="Y45" s="461">
        <f t="shared" si="22"/>
        <v>2.2000000000000002</v>
      </c>
      <c r="Z45" s="469">
        <v>73736</v>
      </c>
      <c r="AA45" s="470">
        <f>SUM(AA33+AA34+AA35+AA39)</f>
        <v>80124</v>
      </c>
      <c r="AB45" s="461">
        <f>IF(Z45=0, "    ---- ", IF(ABS(ROUND(100/Z45*AA45-100,1))&lt;999,ROUND(100/Z45*AA45-100,1),IF(ROUND(100/Z45*AA45-100,1)&gt;999,999,-999)))</f>
        <v>8.6999999999999993</v>
      </c>
      <c r="AC45" s="469"/>
      <c r="AD45" s="470"/>
      <c r="AE45" s="461"/>
      <c r="AF45" s="469">
        <v>8649.9114395300003</v>
      </c>
      <c r="AG45" s="470">
        <f>SUM(AG33+AG34+AG35+AG39)</f>
        <v>0</v>
      </c>
      <c r="AH45" s="461">
        <f t="shared" si="28"/>
        <v>-100</v>
      </c>
      <c r="AI45" s="469">
        <v>20481.665999999997</v>
      </c>
      <c r="AJ45" s="470">
        <f>SUM(AJ33+AJ34+AJ35+AJ39)</f>
        <v>21921.411999999997</v>
      </c>
      <c r="AK45" s="461">
        <f t="shared" si="17"/>
        <v>7</v>
      </c>
      <c r="AL45" s="469">
        <v>187161</v>
      </c>
      <c r="AM45" s="470">
        <f>SUM(AM33+AM34+AM35+AM39)</f>
        <v>186406</v>
      </c>
      <c r="AN45" s="461">
        <f t="shared" si="24"/>
        <v>-0.4</v>
      </c>
      <c r="AO45" s="459">
        <f t="shared" si="18"/>
        <v>1005093.85377988</v>
      </c>
      <c r="AP45" s="460">
        <f t="shared" si="18"/>
        <v>1038687.2391996199</v>
      </c>
      <c r="AQ45" s="461">
        <f t="shared" si="19"/>
        <v>3.3</v>
      </c>
      <c r="AR45" s="459">
        <f t="shared" si="20"/>
        <v>1005093.85377988</v>
      </c>
      <c r="AS45" s="460">
        <f t="shared" si="20"/>
        <v>1038687.2391996199</v>
      </c>
      <c r="AT45" s="582">
        <f t="shared" si="21"/>
        <v>3.3</v>
      </c>
      <c r="AU45" s="430"/>
      <c r="AV45" s="468"/>
      <c r="AW45" s="468"/>
    </row>
    <row r="46" spans="1:49" s="427" customFormat="1" ht="20.100000000000001" customHeight="1" x14ac:dyDescent="0.3">
      <c r="A46" s="492" t="s">
        <v>356</v>
      </c>
      <c r="B46" s="469">
        <v>111.379</v>
      </c>
      <c r="C46" s="470">
        <v>120.384</v>
      </c>
      <c r="D46" s="461">
        <f>IF(B46=0, "    ---- ", IF(ABS(ROUND(100/B46*C46-100,1))&lt;999,ROUND(100/B46*C46-100,1),IF(ROUND(100/B46*C46-100,1)&gt;999,999,-999)))</f>
        <v>8.1</v>
      </c>
      <c r="E46" s="469"/>
      <c r="F46" s="470"/>
      <c r="G46" s="461"/>
      <c r="H46" s="469">
        <v>85.319000000000003</v>
      </c>
      <c r="I46" s="470">
        <v>102.71</v>
      </c>
      <c r="J46" s="461">
        <f t="shared" si="29"/>
        <v>20.399999999999999</v>
      </c>
      <c r="K46" s="469">
        <v>15.686</v>
      </c>
      <c r="L46" s="470">
        <v>26.878</v>
      </c>
      <c r="M46" s="459">
        <f>IF(K46=0, "    ---- ", IF(ABS(ROUND(100/K46*L46-100,1))&lt;999,ROUND(100/K46*L46-100,1),IF(ROUND(100/K46*L46-100,1)&gt;999,999,-999)))</f>
        <v>71.400000000000006</v>
      </c>
      <c r="N46" s="469"/>
      <c r="O46" s="470"/>
      <c r="P46" s="461"/>
      <c r="Q46" s="469"/>
      <c r="R46" s="470"/>
      <c r="S46" s="461"/>
      <c r="T46" s="469"/>
      <c r="U46" s="470"/>
      <c r="V46" s="461"/>
      <c r="W46" s="469">
        <v>86.97</v>
      </c>
      <c r="X46" s="470">
        <v>93.3</v>
      </c>
      <c r="Y46" s="461">
        <f t="shared" si="22"/>
        <v>7.3</v>
      </c>
      <c r="Z46" s="469"/>
      <c r="AA46" s="470"/>
      <c r="AB46" s="461"/>
      <c r="AC46" s="469"/>
      <c r="AD46" s="470"/>
      <c r="AE46" s="461"/>
      <c r="AF46" s="469">
        <v>28.78860375</v>
      </c>
      <c r="AG46" s="470"/>
      <c r="AH46" s="461">
        <f t="shared" si="28"/>
        <v>-100</v>
      </c>
      <c r="AI46" s="469">
        <v>390.19900000000001</v>
      </c>
      <c r="AJ46" s="470">
        <v>429.25200000000001</v>
      </c>
      <c r="AK46" s="461">
        <f t="shared" si="17"/>
        <v>10</v>
      </c>
      <c r="AL46" s="469">
        <v>105</v>
      </c>
      <c r="AM46" s="470">
        <v>71</v>
      </c>
      <c r="AN46" s="461">
        <f t="shared" si="24"/>
        <v>-32.4</v>
      </c>
      <c r="AO46" s="459">
        <f t="shared" si="18"/>
        <v>823.3416037500001</v>
      </c>
      <c r="AP46" s="460">
        <f t="shared" si="18"/>
        <v>843.524</v>
      </c>
      <c r="AQ46" s="461">
        <f t="shared" si="19"/>
        <v>2.5</v>
      </c>
      <c r="AR46" s="459">
        <f t="shared" si="20"/>
        <v>823.3416037500001</v>
      </c>
      <c r="AS46" s="460">
        <f t="shared" si="20"/>
        <v>843.524</v>
      </c>
      <c r="AT46" s="582">
        <f t="shared" si="21"/>
        <v>2.5</v>
      </c>
      <c r="AU46" s="430"/>
      <c r="AV46" s="430"/>
      <c r="AW46" s="468"/>
    </row>
    <row r="47" spans="1:49" s="427" customFormat="1" ht="20.100000000000001" customHeight="1" x14ac:dyDescent="0.3">
      <c r="A47" s="492" t="s">
        <v>237</v>
      </c>
      <c r="B47" s="469"/>
      <c r="C47" s="470"/>
      <c r="D47" s="469"/>
      <c r="E47" s="469"/>
      <c r="F47" s="470"/>
      <c r="G47" s="469"/>
      <c r="H47" s="469"/>
      <c r="I47" s="470"/>
      <c r="J47" s="469"/>
      <c r="K47" s="469"/>
      <c r="L47" s="470"/>
      <c r="M47" s="459"/>
      <c r="N47" s="469"/>
      <c r="O47" s="470"/>
      <c r="P47" s="461"/>
      <c r="Q47" s="469"/>
      <c r="R47" s="470"/>
      <c r="S47" s="461"/>
      <c r="T47" s="469"/>
      <c r="U47" s="470"/>
      <c r="V47" s="461"/>
      <c r="W47" s="469"/>
      <c r="X47" s="470"/>
      <c r="Y47" s="461"/>
      <c r="Z47" s="469"/>
      <c r="AA47" s="470"/>
      <c r="AB47" s="461"/>
      <c r="AC47" s="469"/>
      <c r="AD47" s="470"/>
      <c r="AE47" s="461"/>
      <c r="AF47" s="469"/>
      <c r="AG47" s="470"/>
      <c r="AH47" s="461"/>
      <c r="AI47" s="469"/>
      <c r="AJ47" s="470"/>
      <c r="AK47" s="461"/>
      <c r="AL47" s="469"/>
      <c r="AM47" s="470"/>
      <c r="AN47" s="461"/>
      <c r="AO47" s="459"/>
      <c r="AP47" s="460"/>
      <c r="AQ47" s="461"/>
      <c r="AR47" s="459"/>
      <c r="AS47" s="460"/>
      <c r="AT47" s="582"/>
      <c r="AU47" s="430"/>
      <c r="AV47" s="430"/>
      <c r="AW47" s="468"/>
    </row>
    <row r="48" spans="1:49" s="427" customFormat="1" ht="20.100000000000001" customHeight="1" x14ac:dyDescent="0.3">
      <c r="A48" s="458" t="s">
        <v>238</v>
      </c>
      <c r="B48" s="469"/>
      <c r="C48" s="470"/>
      <c r="D48" s="469"/>
      <c r="E48" s="469"/>
      <c r="F48" s="470"/>
      <c r="G48" s="469"/>
      <c r="H48" s="469"/>
      <c r="I48" s="470"/>
      <c r="J48" s="469"/>
      <c r="K48" s="469"/>
      <c r="L48" s="470"/>
      <c r="M48" s="459"/>
      <c r="N48" s="469"/>
      <c r="O48" s="470"/>
      <c r="P48" s="461"/>
      <c r="Q48" s="469"/>
      <c r="R48" s="470"/>
      <c r="S48" s="461"/>
      <c r="T48" s="469"/>
      <c r="U48" s="470"/>
      <c r="V48" s="461"/>
      <c r="W48" s="469"/>
      <c r="X48" s="470"/>
      <c r="Y48" s="461"/>
      <c r="Z48" s="469"/>
      <c r="AA48" s="470"/>
      <c r="AB48" s="461"/>
      <c r="AC48" s="469"/>
      <c r="AD48" s="470"/>
      <c r="AE48" s="461"/>
      <c r="AF48" s="469"/>
      <c r="AG48" s="470"/>
      <c r="AH48" s="461"/>
      <c r="AI48" s="469"/>
      <c r="AJ48" s="470"/>
      <c r="AK48" s="461"/>
      <c r="AL48" s="469"/>
      <c r="AM48" s="470"/>
      <c r="AN48" s="461"/>
      <c r="AO48" s="459">
        <f t="shared" ref="AO48:AP62" si="30">B48+E48+H48+K48+Q48+T48+W48+Z48+AF48+AI48+AL48</f>
        <v>0</v>
      </c>
      <c r="AP48" s="460">
        <f t="shared" si="30"/>
        <v>0</v>
      </c>
      <c r="AQ48" s="461" t="str">
        <f t="shared" si="19"/>
        <v xml:space="preserve">    ---- </v>
      </c>
      <c r="AR48" s="459">
        <f t="shared" si="20"/>
        <v>0</v>
      </c>
      <c r="AS48" s="460">
        <f t="shared" si="20"/>
        <v>0</v>
      </c>
      <c r="AT48" s="582" t="str">
        <f t="shared" si="21"/>
        <v xml:space="preserve">    ---- </v>
      </c>
      <c r="AU48" s="430"/>
      <c r="AV48" s="430"/>
      <c r="AW48" s="468"/>
    </row>
    <row r="49" spans="1:49" s="427" customFormat="1" ht="20.100000000000001" customHeight="1" x14ac:dyDescent="0.3">
      <c r="A49" s="458" t="s">
        <v>239</v>
      </c>
      <c r="B49" s="469"/>
      <c r="C49" s="470"/>
      <c r="D49" s="469"/>
      <c r="E49" s="469"/>
      <c r="F49" s="470"/>
      <c r="G49" s="469"/>
      <c r="H49" s="469"/>
      <c r="I49" s="470"/>
      <c r="J49" s="469"/>
      <c r="K49" s="469"/>
      <c r="L49" s="470"/>
      <c r="M49" s="459"/>
      <c r="N49" s="469"/>
      <c r="O49" s="470"/>
      <c r="P49" s="461"/>
      <c r="Q49" s="469">
        <v>260.36432387999997</v>
      </c>
      <c r="R49" s="470">
        <v>275.18829588</v>
      </c>
      <c r="S49" s="461">
        <f t="shared" ref="S49:S60" si="31">IF(Q49=0, "    ---- ", IF(ABS(ROUND(100/Q49*R49-100,1))&lt;999,ROUND(100/Q49*R49-100,1),IF(ROUND(100/Q49*R49-100,1)&gt;999,999,-999)))</f>
        <v>5.7</v>
      </c>
      <c r="T49" s="469"/>
      <c r="U49" s="470"/>
      <c r="V49" s="461"/>
      <c r="W49" s="469"/>
      <c r="X49" s="470"/>
      <c r="Y49" s="461"/>
      <c r="Z49" s="469"/>
      <c r="AA49" s="470"/>
      <c r="AB49" s="461"/>
      <c r="AC49" s="469"/>
      <c r="AD49" s="470"/>
      <c r="AE49" s="461"/>
      <c r="AF49" s="469"/>
      <c r="AG49" s="470"/>
      <c r="AH49" s="461"/>
      <c r="AI49" s="469"/>
      <c r="AJ49" s="470"/>
      <c r="AK49" s="461"/>
      <c r="AL49" s="469">
        <v>2805</v>
      </c>
      <c r="AM49" s="470">
        <v>3673</v>
      </c>
      <c r="AN49" s="461">
        <f t="shared" si="24"/>
        <v>30.9</v>
      </c>
      <c r="AO49" s="459">
        <f t="shared" si="30"/>
        <v>3065.36432388</v>
      </c>
      <c r="AP49" s="460">
        <f t="shared" si="30"/>
        <v>3948.1882958800002</v>
      </c>
      <c r="AQ49" s="461">
        <f t="shared" si="19"/>
        <v>28.8</v>
      </c>
      <c r="AR49" s="459">
        <f t="shared" si="20"/>
        <v>3065.36432388</v>
      </c>
      <c r="AS49" s="460">
        <f t="shared" si="20"/>
        <v>3948.1882958800002</v>
      </c>
      <c r="AT49" s="582">
        <f t="shared" si="21"/>
        <v>28.8</v>
      </c>
      <c r="AU49" s="430"/>
      <c r="AV49" s="430"/>
      <c r="AW49" s="468"/>
    </row>
    <row r="50" spans="1:49" s="427" customFormat="1" ht="20.100000000000001" customHeight="1" x14ac:dyDescent="0.3">
      <c r="A50" s="458" t="s">
        <v>240</v>
      </c>
      <c r="B50" s="459"/>
      <c r="C50" s="470"/>
      <c r="D50" s="469"/>
      <c r="E50" s="469"/>
      <c r="F50" s="470"/>
      <c r="G50" s="469"/>
      <c r="H50" s="469"/>
      <c r="I50" s="470"/>
      <c r="J50" s="469"/>
      <c r="K50" s="469"/>
      <c r="L50" s="470"/>
      <c r="M50" s="459"/>
      <c r="N50" s="469"/>
      <c r="O50" s="470"/>
      <c r="P50" s="461"/>
      <c r="Q50" s="469">
        <v>731.07223033000002</v>
      </c>
      <c r="R50" s="470">
        <f>SUM(R51+R53)</f>
        <v>784.63334423999993</v>
      </c>
      <c r="S50" s="461">
        <f t="shared" si="31"/>
        <v>7.3</v>
      </c>
      <c r="T50" s="469"/>
      <c r="U50" s="470"/>
      <c r="V50" s="461"/>
      <c r="W50" s="469"/>
      <c r="X50" s="470"/>
      <c r="Y50" s="461"/>
      <c r="Z50" s="469"/>
      <c r="AA50" s="470"/>
      <c r="AB50" s="461"/>
      <c r="AC50" s="469"/>
      <c r="AD50" s="470"/>
      <c r="AE50" s="461"/>
      <c r="AF50" s="469"/>
      <c r="AG50" s="470">
        <f>SUM(AG51+AG53)</f>
        <v>0</v>
      </c>
      <c r="AH50" s="461"/>
      <c r="AI50" s="469"/>
      <c r="AJ50" s="470"/>
      <c r="AK50" s="461"/>
      <c r="AL50" s="469">
        <v>318</v>
      </c>
      <c r="AM50" s="470">
        <f>SUM(AM51+AM53)</f>
        <v>1110</v>
      </c>
      <c r="AN50" s="461">
        <f t="shared" si="24"/>
        <v>249.1</v>
      </c>
      <c r="AO50" s="459">
        <f t="shared" si="30"/>
        <v>1049.0722303299999</v>
      </c>
      <c r="AP50" s="460">
        <f t="shared" si="30"/>
        <v>1894.63334424</v>
      </c>
      <c r="AQ50" s="461">
        <f t="shared" si="19"/>
        <v>80.599999999999994</v>
      </c>
      <c r="AR50" s="459">
        <f t="shared" si="20"/>
        <v>1049.0722303299999</v>
      </c>
      <c r="AS50" s="460">
        <f t="shared" si="20"/>
        <v>1894.63334424</v>
      </c>
      <c r="AT50" s="582">
        <f t="shared" si="21"/>
        <v>80.599999999999994</v>
      </c>
      <c r="AU50" s="430"/>
      <c r="AV50" s="468"/>
      <c r="AW50" s="468"/>
    </row>
    <row r="51" spans="1:49" s="427" customFormat="1" ht="20.100000000000001" customHeight="1" x14ac:dyDescent="0.3">
      <c r="A51" s="458" t="s">
        <v>241</v>
      </c>
      <c r="B51" s="469"/>
      <c r="C51" s="470"/>
      <c r="D51" s="461"/>
      <c r="E51" s="469"/>
      <c r="F51" s="470"/>
      <c r="G51" s="461"/>
      <c r="H51" s="469"/>
      <c r="I51" s="470"/>
      <c r="J51" s="461"/>
      <c r="K51" s="469"/>
      <c r="L51" s="470"/>
      <c r="M51" s="459"/>
      <c r="N51" s="469"/>
      <c r="O51" s="470"/>
      <c r="P51" s="461"/>
      <c r="Q51" s="469">
        <v>140.494114</v>
      </c>
      <c r="R51" s="470">
        <v>111.74407906</v>
      </c>
      <c r="S51" s="461">
        <f t="shared" si="31"/>
        <v>-20.5</v>
      </c>
      <c r="T51" s="469"/>
      <c r="U51" s="470"/>
      <c r="V51" s="461"/>
      <c r="W51" s="469"/>
      <c r="X51" s="470"/>
      <c r="Y51" s="461"/>
      <c r="Z51" s="469"/>
      <c r="AA51" s="470"/>
      <c r="AB51" s="461"/>
      <c r="AC51" s="469"/>
      <c r="AD51" s="470"/>
      <c r="AE51" s="461"/>
      <c r="AF51" s="469"/>
      <c r="AG51" s="470"/>
      <c r="AH51" s="461"/>
      <c r="AI51" s="469"/>
      <c r="AJ51" s="470"/>
      <c r="AK51" s="461"/>
      <c r="AL51" s="469"/>
      <c r="AM51" s="470"/>
      <c r="AN51" s="461"/>
      <c r="AO51" s="459">
        <f t="shared" si="30"/>
        <v>140.494114</v>
      </c>
      <c r="AP51" s="460">
        <f t="shared" si="30"/>
        <v>111.74407906</v>
      </c>
      <c r="AQ51" s="461">
        <f t="shared" si="19"/>
        <v>-20.5</v>
      </c>
      <c r="AR51" s="459">
        <f t="shared" si="20"/>
        <v>140.494114</v>
      </c>
      <c r="AS51" s="460">
        <f t="shared" si="20"/>
        <v>111.74407906</v>
      </c>
      <c r="AT51" s="582">
        <f t="shared" si="21"/>
        <v>-20.5</v>
      </c>
      <c r="AU51" s="430"/>
      <c r="AV51" s="430"/>
      <c r="AW51" s="468"/>
    </row>
    <row r="52" spans="1:49" s="486" customFormat="1" ht="20.100000000000001" customHeight="1" x14ac:dyDescent="0.3">
      <c r="A52" s="458" t="s">
        <v>211</v>
      </c>
      <c r="B52" s="465"/>
      <c r="C52" s="485"/>
      <c r="D52" s="465"/>
      <c r="E52" s="465"/>
      <c r="F52" s="485"/>
      <c r="G52" s="465"/>
      <c r="H52" s="465"/>
      <c r="I52" s="485"/>
      <c r="J52" s="465"/>
      <c r="K52" s="465"/>
      <c r="L52" s="485"/>
      <c r="M52" s="575"/>
      <c r="N52" s="465"/>
      <c r="O52" s="485"/>
      <c r="P52" s="465"/>
      <c r="Q52" s="465"/>
      <c r="R52" s="485"/>
      <c r="S52" s="465"/>
      <c r="T52" s="465"/>
      <c r="U52" s="485"/>
      <c r="V52" s="465"/>
      <c r="W52" s="465"/>
      <c r="X52" s="485"/>
      <c r="Y52" s="465"/>
      <c r="Z52" s="465"/>
      <c r="AA52" s="485"/>
      <c r="AB52" s="465"/>
      <c r="AC52" s="465"/>
      <c r="AD52" s="485"/>
      <c r="AE52" s="465"/>
      <c r="AF52" s="465"/>
      <c r="AG52" s="485"/>
      <c r="AH52" s="465"/>
      <c r="AI52" s="465"/>
      <c r="AJ52" s="485"/>
      <c r="AK52" s="465"/>
      <c r="AL52" s="465"/>
      <c r="AM52" s="485"/>
      <c r="AN52" s="465"/>
      <c r="AO52" s="575">
        <f t="shared" si="30"/>
        <v>0</v>
      </c>
      <c r="AP52" s="576">
        <f t="shared" si="30"/>
        <v>0</v>
      </c>
      <c r="AQ52" s="465" t="str">
        <f t="shared" si="19"/>
        <v xml:space="preserve">    ---- </v>
      </c>
      <c r="AR52" s="575">
        <f>B52+E52+H52+K52+N52+Q52+T52+W52+Z52+AC52+AF52+AI52+AL52</f>
        <v>0</v>
      </c>
      <c r="AS52" s="576">
        <f>C52+F52+I52+L52+O52+R52+U52+X52+AA52+AD52+AG52+AJ52+AM52</f>
        <v>0</v>
      </c>
      <c r="AT52" s="580" t="str">
        <f t="shared" si="21"/>
        <v xml:space="preserve">    ---- </v>
      </c>
      <c r="AU52" s="579"/>
      <c r="AV52" s="579"/>
      <c r="AW52" s="581"/>
    </row>
    <row r="53" spans="1:49" s="427" customFormat="1" ht="20.100000000000001" customHeight="1" x14ac:dyDescent="0.3">
      <c r="A53" s="458" t="s">
        <v>242</v>
      </c>
      <c r="B53" s="469"/>
      <c r="C53" s="470"/>
      <c r="D53" s="469"/>
      <c r="E53" s="469"/>
      <c r="F53" s="470"/>
      <c r="G53" s="469"/>
      <c r="H53" s="469"/>
      <c r="I53" s="470"/>
      <c r="J53" s="469"/>
      <c r="K53" s="469"/>
      <c r="L53" s="470"/>
      <c r="M53" s="459"/>
      <c r="N53" s="469"/>
      <c r="O53" s="470"/>
      <c r="P53" s="461"/>
      <c r="Q53" s="469">
        <v>590.57811633000006</v>
      </c>
      <c r="R53" s="470">
        <v>672.88926517999994</v>
      </c>
      <c r="S53" s="461">
        <f t="shared" si="31"/>
        <v>13.9</v>
      </c>
      <c r="T53" s="469"/>
      <c r="U53" s="470"/>
      <c r="V53" s="461"/>
      <c r="W53" s="469"/>
      <c r="X53" s="470"/>
      <c r="Y53" s="461"/>
      <c r="Z53" s="469"/>
      <c r="AA53" s="470"/>
      <c r="AB53" s="461"/>
      <c r="AC53" s="469"/>
      <c r="AD53" s="470"/>
      <c r="AE53" s="461"/>
      <c r="AF53" s="469"/>
      <c r="AG53" s="470"/>
      <c r="AH53" s="461"/>
      <c r="AI53" s="469"/>
      <c r="AJ53" s="470"/>
      <c r="AK53" s="461"/>
      <c r="AL53" s="469">
        <v>318</v>
      </c>
      <c r="AM53" s="470">
        <v>1110</v>
      </c>
      <c r="AN53" s="461">
        <f t="shared" si="24"/>
        <v>249.1</v>
      </c>
      <c r="AO53" s="459">
        <f t="shared" si="30"/>
        <v>908.57811633000006</v>
      </c>
      <c r="AP53" s="460">
        <f t="shared" si="30"/>
        <v>1782.8892651799999</v>
      </c>
      <c r="AQ53" s="461">
        <f t="shared" si="19"/>
        <v>96.2</v>
      </c>
      <c r="AR53" s="459">
        <f>B53+E53+H53+K53+N53+Q53+T53+W53+Z53+AC53+AF53+AI53+AL53</f>
        <v>908.57811633000006</v>
      </c>
      <c r="AS53" s="460">
        <f t="shared" si="20"/>
        <v>1782.8892651799999</v>
      </c>
      <c r="AT53" s="582">
        <f t="shared" si="21"/>
        <v>96.2</v>
      </c>
      <c r="AU53" s="430"/>
      <c r="AV53" s="430"/>
      <c r="AW53" s="468"/>
    </row>
    <row r="54" spans="1:49" s="427" customFormat="1" ht="20.100000000000001" customHeight="1" x14ac:dyDescent="0.3">
      <c r="A54" s="458" t="s">
        <v>243</v>
      </c>
      <c r="B54" s="459">
        <v>13128.958999999999</v>
      </c>
      <c r="C54" s="470">
        <f>SUM(C55:C59)</f>
        <v>16087.298000000001</v>
      </c>
      <c r="D54" s="469">
        <f>IF(B54=0, "    ---- ", IF(ABS(ROUND(100/B54*C54-100,1))&lt;999,ROUND(100/B54*C54-100,1),IF(ROUND(100/B54*C54-100,1)&gt;999,999,-999)))</f>
        <v>22.5</v>
      </c>
      <c r="E54" s="469">
        <v>56416.800000000003</v>
      </c>
      <c r="F54" s="470">
        <f>SUM(F55:F59)</f>
        <v>70689.760999999999</v>
      </c>
      <c r="G54" s="469">
        <f t="shared" si="16"/>
        <v>25.3</v>
      </c>
      <c r="H54" s="469">
        <v>2500.424</v>
      </c>
      <c r="I54" s="470">
        <f>SUM(I55:I59)</f>
        <v>3022.5279999999998</v>
      </c>
      <c r="J54" s="469">
        <f>IF(H54=0, "    ---- ", IF(ABS(ROUND(100/H54*I54-100,1))&lt;999,ROUND(100/H54*I54-100,1),IF(ROUND(100/H54*I54-100,1)&gt;999,999,-999)))</f>
        <v>20.9</v>
      </c>
      <c r="K54" s="469">
        <v>16856.720850999998</v>
      </c>
      <c r="L54" s="470">
        <f>SUM(L55:L59)</f>
        <v>21451.220999999998</v>
      </c>
      <c r="M54" s="459">
        <f t="shared" si="26"/>
        <v>27.3</v>
      </c>
      <c r="N54" s="469"/>
      <c r="O54" s="470"/>
      <c r="P54" s="461"/>
      <c r="Q54" s="469">
        <v>1207.87046098</v>
      </c>
      <c r="R54" s="470">
        <f>SUM(R55:R59)</f>
        <v>1269.54631432</v>
      </c>
      <c r="S54" s="461">
        <f t="shared" si="31"/>
        <v>5.0999999999999996</v>
      </c>
      <c r="T54" s="469">
        <v>1486.6</v>
      </c>
      <c r="U54" s="470">
        <f>SUM(U55:U59)</f>
        <v>2432.5</v>
      </c>
      <c r="V54" s="461">
        <f>IF(T54=0, "    ---- ", IF(ABS(ROUND(100/T54*U54-100,1))&lt;999,ROUND(100/T54*U54-100,1),IF(ROUND(100/T54*U54-100,1)&gt;999,999,-999)))</f>
        <v>63.6</v>
      </c>
      <c r="W54" s="469">
        <v>44253.450000000004</v>
      </c>
      <c r="X54" s="470">
        <f>SUM(X55:X59)</f>
        <v>54647.56</v>
      </c>
      <c r="Y54" s="461">
        <f t="shared" si="22"/>
        <v>23.5</v>
      </c>
      <c r="Z54" s="469"/>
      <c r="AA54" s="470"/>
      <c r="AB54" s="461"/>
      <c r="AC54" s="469">
        <v>1613</v>
      </c>
      <c r="AD54" s="470">
        <f>SUM(AD55:AD59)</f>
        <v>1949</v>
      </c>
      <c r="AE54" s="461">
        <f>IF(AC54=0, "    ---- ", IF(ABS(ROUND(100/AC54*AD54-100,1))&lt;999,ROUND(100/AC54*AD54-100,1),IF(ROUND(100/AC54*AD54-100,1)&gt;999,999,-999)))</f>
        <v>20.8</v>
      </c>
      <c r="AF54" s="469">
        <v>448.39562898000003</v>
      </c>
      <c r="AG54" s="470">
        <f>SUM(AG55:AG59)</f>
        <v>0</v>
      </c>
      <c r="AH54" s="461">
        <f>IF(AF54=0, "    ---- ", IF(ABS(ROUND(100/AF54*AG54-100,1))&lt;999,ROUND(100/AF54*AG54-100,1),IF(ROUND(100/AF54*AG54-100,1)&gt;999,999,-999)))</f>
        <v>-100</v>
      </c>
      <c r="AI54" s="469">
        <v>17938.689999999999</v>
      </c>
      <c r="AJ54" s="470">
        <f>SUM(AJ55:AJ59)</f>
        <v>23610.829000000002</v>
      </c>
      <c r="AK54" s="461">
        <f t="shared" si="17"/>
        <v>31.6</v>
      </c>
      <c r="AL54" s="469">
        <v>58055.7</v>
      </c>
      <c r="AM54" s="470">
        <f>SUM(AM55:AM59)</f>
        <v>70915</v>
      </c>
      <c r="AN54" s="461">
        <f t="shared" si="24"/>
        <v>22.1</v>
      </c>
      <c r="AO54" s="459">
        <f t="shared" si="30"/>
        <v>212293.60994096001</v>
      </c>
      <c r="AP54" s="460">
        <f t="shared" si="30"/>
        <v>264126.24331431999</v>
      </c>
      <c r="AQ54" s="461">
        <f t="shared" si="19"/>
        <v>24.4</v>
      </c>
      <c r="AR54" s="459">
        <f t="shared" ref="AR54:AS64" si="32">B54+E54+H54+K54+N54+Q54+T54+W54+Z54+AC54+AF54+AI54+AL54</f>
        <v>213906.60994096001</v>
      </c>
      <c r="AS54" s="460">
        <f t="shared" si="20"/>
        <v>266075.24331431999</v>
      </c>
      <c r="AT54" s="582">
        <f t="shared" si="21"/>
        <v>24.4</v>
      </c>
      <c r="AU54" s="430"/>
      <c r="AV54" s="468"/>
      <c r="AW54" s="468"/>
    </row>
    <row r="55" spans="1:49" s="427" customFormat="1" ht="20.100000000000001" customHeight="1" x14ac:dyDescent="0.3">
      <c r="A55" s="458" t="s">
        <v>244</v>
      </c>
      <c r="B55" s="469">
        <v>7474.1260000000002</v>
      </c>
      <c r="C55" s="470">
        <v>9572.7309999999998</v>
      </c>
      <c r="D55" s="469">
        <f>IF(B55=0, "    ---- ", IF(ABS(ROUND(100/B55*C55-100,1))&lt;999,ROUND(100/B55*C55-100,1),IF(ROUND(100/B55*C55-100,1)&gt;999,999,-999)))</f>
        <v>28.1</v>
      </c>
      <c r="E55" s="469">
        <v>29075.200000000001</v>
      </c>
      <c r="F55" s="470">
        <v>37847.123</v>
      </c>
      <c r="G55" s="469">
        <f t="shared" si="16"/>
        <v>30.2</v>
      </c>
      <c r="H55" s="469">
        <v>1557.8809999999999</v>
      </c>
      <c r="I55" s="470">
        <v>1973.4529999999997</v>
      </c>
      <c r="J55" s="469">
        <f>IF(H55=0, "    ---- ", IF(ABS(ROUND(100/H55*I55-100,1))&lt;999,ROUND(100/H55*I55-100,1),IF(ROUND(100/H55*I55-100,1)&gt;999,999,-999)))</f>
        <v>26.7</v>
      </c>
      <c r="K55" s="469">
        <v>15114.567999999999</v>
      </c>
      <c r="L55" s="470">
        <v>18976.904999999999</v>
      </c>
      <c r="M55" s="459">
        <f t="shared" si="26"/>
        <v>25.6</v>
      </c>
      <c r="N55" s="469"/>
      <c r="O55" s="470"/>
      <c r="P55" s="461"/>
      <c r="Q55" s="469">
        <v>471.99660249999999</v>
      </c>
      <c r="R55" s="470">
        <v>599.69890402999999</v>
      </c>
      <c r="S55" s="461">
        <f t="shared" si="31"/>
        <v>27.1</v>
      </c>
      <c r="T55" s="469">
        <v>1478.1</v>
      </c>
      <c r="U55" s="470">
        <v>2424.8000000000002</v>
      </c>
      <c r="V55" s="461">
        <f>IF(T55=0, "    ---- ", IF(ABS(ROUND(100/T55*U55-100,1))&lt;999,ROUND(100/T55*U55-100,1),IF(ROUND(100/T55*U55-100,1)&gt;999,999,-999)))</f>
        <v>64</v>
      </c>
      <c r="W55" s="469">
        <v>44164.480000000003</v>
      </c>
      <c r="X55" s="470">
        <v>54630.95</v>
      </c>
      <c r="Y55" s="461">
        <f t="shared" si="22"/>
        <v>23.7</v>
      </c>
      <c r="Z55" s="469"/>
      <c r="AA55" s="470"/>
      <c r="AB55" s="461"/>
      <c r="AC55" s="469">
        <v>1613</v>
      </c>
      <c r="AD55" s="470">
        <v>1949</v>
      </c>
      <c r="AE55" s="461">
        <f>IF(AC55=0, "    ---- ", IF(ABS(ROUND(100/AC55*AD55-100,1))&lt;999,ROUND(100/AC55*AD55-100,1),IF(ROUND(100/AC55*AD55-100,1)&gt;999,999,-999)))</f>
        <v>20.8</v>
      </c>
      <c r="AF55" s="469">
        <v>211.01059604</v>
      </c>
      <c r="AG55" s="470"/>
      <c r="AH55" s="461">
        <f>IF(AF55=0, "    ---- ", IF(ABS(ROUND(100/AF55*AG55-100,1))&lt;999,ROUND(100/AF55*AG55-100,1),IF(ROUND(100/AF55*AG55-100,1)&gt;999,999,-999)))</f>
        <v>-100</v>
      </c>
      <c r="AI55" s="469">
        <v>9745.2819999999992</v>
      </c>
      <c r="AJ55" s="470">
        <v>13824.271000000001</v>
      </c>
      <c r="AK55" s="461">
        <f t="shared" si="17"/>
        <v>41.9</v>
      </c>
      <c r="AL55" s="469">
        <v>35562.400000000001</v>
      </c>
      <c r="AM55" s="470">
        <v>46385</v>
      </c>
      <c r="AN55" s="461">
        <f t="shared" si="24"/>
        <v>30.4</v>
      </c>
      <c r="AO55" s="459">
        <f t="shared" si="30"/>
        <v>144855.04419854001</v>
      </c>
      <c r="AP55" s="460">
        <f t="shared" si="30"/>
        <v>186234.93190403</v>
      </c>
      <c r="AQ55" s="461">
        <f t="shared" si="19"/>
        <v>28.6</v>
      </c>
      <c r="AR55" s="459">
        <f t="shared" si="32"/>
        <v>146468.04419854001</v>
      </c>
      <c r="AS55" s="460">
        <f t="shared" si="20"/>
        <v>188183.93190403</v>
      </c>
      <c r="AT55" s="582">
        <f t="shared" si="21"/>
        <v>28.5</v>
      </c>
      <c r="AU55" s="430"/>
      <c r="AV55" s="430"/>
      <c r="AW55" s="468"/>
    </row>
    <row r="56" spans="1:49" s="427" customFormat="1" ht="20.100000000000001" customHeight="1" x14ac:dyDescent="0.3">
      <c r="A56" s="458" t="s">
        <v>245</v>
      </c>
      <c r="B56" s="469">
        <v>5591.1049999999996</v>
      </c>
      <c r="C56" s="470">
        <v>6455.183</v>
      </c>
      <c r="D56" s="469">
        <f>IF(B56=0, "    ---- ", IF(ABS(ROUND(100/B56*C56-100,1))&lt;999,ROUND(100/B56*C56-100,1),IF(ROUND(100/B56*C56-100,1)&gt;999,999,-999)))</f>
        <v>15.5</v>
      </c>
      <c r="E56" s="469">
        <v>25689.8</v>
      </c>
      <c r="F56" s="470">
        <v>31250.539000000001</v>
      </c>
      <c r="G56" s="469">
        <f t="shared" si="16"/>
        <v>21.6</v>
      </c>
      <c r="H56" s="469"/>
      <c r="I56" s="470"/>
      <c r="J56" s="469"/>
      <c r="K56" s="469">
        <v>1668.231</v>
      </c>
      <c r="L56" s="470">
        <v>2365.9630000000002</v>
      </c>
      <c r="M56" s="459">
        <f t="shared" si="26"/>
        <v>41.8</v>
      </c>
      <c r="N56" s="469"/>
      <c r="O56" s="470"/>
      <c r="P56" s="461"/>
      <c r="Q56" s="469">
        <v>627.06566284000007</v>
      </c>
      <c r="R56" s="470">
        <v>599.83286462000001</v>
      </c>
      <c r="S56" s="461">
        <f t="shared" si="31"/>
        <v>-4.3</v>
      </c>
      <c r="T56" s="469"/>
      <c r="U56" s="470"/>
      <c r="V56" s="461"/>
      <c r="W56" s="469"/>
      <c r="X56" s="470"/>
      <c r="Y56" s="461"/>
      <c r="Z56" s="469"/>
      <c r="AA56" s="470"/>
      <c r="AB56" s="461"/>
      <c r="AC56" s="469"/>
      <c r="AD56" s="470"/>
      <c r="AE56" s="461"/>
      <c r="AF56" s="469">
        <v>220.59376046</v>
      </c>
      <c r="AG56" s="470"/>
      <c r="AH56" s="461">
        <f>IF(AF56=0, "    ---- ", IF(ABS(ROUND(100/AF56*AG56-100,1))&lt;999,ROUND(100/AF56*AG56-100,1),IF(ROUND(100/AF56*AG56-100,1)&gt;999,999,-999)))</f>
        <v>-100</v>
      </c>
      <c r="AI56" s="469">
        <v>7868.79</v>
      </c>
      <c r="AJ56" s="470">
        <v>9672.5149999999994</v>
      </c>
      <c r="AK56" s="461">
        <f t="shared" si="17"/>
        <v>22.9</v>
      </c>
      <c r="AL56" s="469">
        <v>21762.3</v>
      </c>
      <c r="AM56" s="470">
        <v>24445</v>
      </c>
      <c r="AN56" s="461">
        <f t="shared" si="24"/>
        <v>12.3</v>
      </c>
      <c r="AO56" s="459">
        <f t="shared" si="30"/>
        <v>63427.885423300002</v>
      </c>
      <c r="AP56" s="460">
        <f t="shared" si="30"/>
        <v>74789.032864620007</v>
      </c>
      <c r="AQ56" s="461">
        <f t="shared" si="19"/>
        <v>17.899999999999999</v>
      </c>
      <c r="AR56" s="459">
        <f t="shared" si="32"/>
        <v>63427.885423300002</v>
      </c>
      <c r="AS56" s="460">
        <f t="shared" si="20"/>
        <v>74789.032864620007</v>
      </c>
      <c r="AT56" s="582">
        <f t="shared" si="21"/>
        <v>17.899999999999999</v>
      </c>
      <c r="AU56" s="430"/>
      <c r="AV56" s="430"/>
      <c r="AW56" s="468"/>
    </row>
    <row r="57" spans="1:49" s="427" customFormat="1" ht="20.100000000000001" customHeight="1" x14ac:dyDescent="0.3">
      <c r="A57" s="458" t="s">
        <v>246</v>
      </c>
      <c r="B57" s="469"/>
      <c r="C57" s="470"/>
      <c r="D57" s="461"/>
      <c r="E57" s="469">
        <v>1651.8</v>
      </c>
      <c r="F57" s="470">
        <v>1592.0989999999999</v>
      </c>
      <c r="G57" s="461">
        <f t="shared" si="16"/>
        <v>-3.6</v>
      </c>
      <c r="H57" s="469"/>
      <c r="I57" s="470"/>
      <c r="J57" s="461"/>
      <c r="K57" s="469">
        <v>34.413297999999998</v>
      </c>
      <c r="L57" s="470">
        <v>35.698</v>
      </c>
      <c r="M57" s="461">
        <f t="shared" si="26"/>
        <v>3.7</v>
      </c>
      <c r="N57" s="469"/>
      <c r="O57" s="470"/>
      <c r="P57" s="461"/>
      <c r="Q57" s="469">
        <v>39.045588969999997</v>
      </c>
      <c r="R57" s="470">
        <v>59.500607430000002</v>
      </c>
      <c r="S57" s="461">
        <f t="shared" si="31"/>
        <v>52.4</v>
      </c>
      <c r="T57" s="469">
        <v>8.5</v>
      </c>
      <c r="U57" s="470">
        <v>7.7</v>
      </c>
      <c r="V57" s="461">
        <f>IF(T57=0, "    ---- ", IF(ABS(ROUND(100/T57*U57-100,1))&lt;999,ROUND(100/T57*U57-100,1),IF(ROUND(100/T57*U57-100,1)&gt;999,999,-999)))</f>
        <v>-9.4</v>
      </c>
      <c r="W57" s="469"/>
      <c r="X57" s="470"/>
      <c r="Y57" s="461"/>
      <c r="Z57" s="469"/>
      <c r="AA57" s="470"/>
      <c r="AB57" s="461"/>
      <c r="AC57" s="469"/>
      <c r="AD57" s="470"/>
      <c r="AE57" s="461"/>
      <c r="AF57" s="469">
        <v>0.33145192000000001</v>
      </c>
      <c r="AG57" s="470"/>
      <c r="AH57" s="461">
        <f>IF(AF57=0, "    ---- ", IF(ABS(ROUND(100/AF57*AG57-100,1))&lt;999,ROUND(100/AF57*AG57-100,1),IF(ROUND(100/AF57*AG57-100,1)&gt;999,999,-999)))</f>
        <v>-100</v>
      </c>
      <c r="AI57" s="469"/>
      <c r="AJ57" s="470"/>
      <c r="AK57" s="461"/>
      <c r="AL57" s="469"/>
      <c r="AM57" s="470"/>
      <c r="AN57" s="461"/>
      <c r="AO57" s="459">
        <f t="shared" si="30"/>
        <v>1734.0903388899999</v>
      </c>
      <c r="AP57" s="460">
        <f t="shared" si="30"/>
        <v>1694.99760743</v>
      </c>
      <c r="AQ57" s="461">
        <f t="shared" si="19"/>
        <v>-2.2999999999999998</v>
      </c>
      <c r="AR57" s="459">
        <f t="shared" si="32"/>
        <v>1734.0903388899999</v>
      </c>
      <c r="AS57" s="460">
        <f t="shared" si="20"/>
        <v>1694.99760743</v>
      </c>
      <c r="AT57" s="582">
        <f t="shared" si="21"/>
        <v>-2.2999999999999998</v>
      </c>
      <c r="AU57" s="430"/>
      <c r="AV57" s="430"/>
      <c r="AW57" s="468"/>
    </row>
    <row r="58" spans="1:49" s="427" customFormat="1" ht="20.100000000000001" customHeight="1" x14ac:dyDescent="0.3">
      <c r="A58" s="458" t="s">
        <v>247</v>
      </c>
      <c r="B58" s="469"/>
      <c r="C58" s="470"/>
      <c r="D58" s="461"/>
      <c r="E58" s="469"/>
      <c r="F58" s="470"/>
      <c r="G58" s="461"/>
      <c r="H58" s="469"/>
      <c r="I58" s="470"/>
      <c r="J58" s="461"/>
      <c r="K58" s="469"/>
      <c r="L58" s="470"/>
      <c r="M58" s="461"/>
      <c r="N58" s="469"/>
      <c r="O58" s="470"/>
      <c r="P58" s="461"/>
      <c r="Q58" s="469">
        <v>15.223474400000001</v>
      </c>
      <c r="R58" s="470">
        <v>7.0462466600000004</v>
      </c>
      <c r="S58" s="461">
        <f t="shared" si="31"/>
        <v>-53.7</v>
      </c>
      <c r="T58" s="469"/>
      <c r="U58" s="470"/>
      <c r="V58" s="461"/>
      <c r="W58" s="469"/>
      <c r="X58" s="470"/>
      <c r="Y58" s="461"/>
      <c r="Z58" s="469"/>
      <c r="AA58" s="470"/>
      <c r="AB58" s="461"/>
      <c r="AC58" s="469"/>
      <c r="AD58" s="470"/>
      <c r="AE58" s="461"/>
      <c r="AF58" s="469"/>
      <c r="AG58" s="470"/>
      <c r="AH58" s="461"/>
      <c r="AI58" s="469">
        <v>218.60599999999999</v>
      </c>
      <c r="AJ58" s="470">
        <v>0</v>
      </c>
      <c r="AK58" s="461">
        <f t="shared" si="17"/>
        <v>-100</v>
      </c>
      <c r="AL58" s="469">
        <v>731</v>
      </c>
      <c r="AM58" s="470">
        <v>85</v>
      </c>
      <c r="AN58" s="461">
        <f t="shared" si="24"/>
        <v>-88.4</v>
      </c>
      <c r="AO58" s="459">
        <f t="shared" si="30"/>
        <v>964.82947439999998</v>
      </c>
      <c r="AP58" s="460">
        <f t="shared" si="30"/>
        <v>92.046246659999994</v>
      </c>
      <c r="AQ58" s="461">
        <f t="shared" si="19"/>
        <v>-90.5</v>
      </c>
      <c r="AR58" s="459">
        <f t="shared" si="32"/>
        <v>964.82947439999998</v>
      </c>
      <c r="AS58" s="460">
        <f t="shared" si="20"/>
        <v>92.046246659999994</v>
      </c>
      <c r="AT58" s="582">
        <f t="shared" si="21"/>
        <v>-90.5</v>
      </c>
      <c r="AU58" s="430"/>
      <c r="AV58" s="430"/>
      <c r="AW58" s="468"/>
    </row>
    <row r="59" spans="1:49" s="427" customFormat="1" ht="20.100000000000001" customHeight="1" x14ac:dyDescent="0.3">
      <c r="A59" s="458" t="s">
        <v>248</v>
      </c>
      <c r="B59" s="469">
        <v>63.728000000000002</v>
      </c>
      <c r="C59" s="470">
        <v>59.384</v>
      </c>
      <c r="D59" s="461">
        <f>IF(B59=0, "    ---- ", IF(ABS(ROUND(100/B59*C59-100,1))&lt;999,ROUND(100/B59*C59-100,1),IF(ROUND(100/B59*C59-100,1)&gt;999,999,-999)))</f>
        <v>-6.8</v>
      </c>
      <c r="E59" s="469"/>
      <c r="F59" s="470"/>
      <c r="G59" s="461"/>
      <c r="H59" s="469">
        <v>942.54300000000001</v>
      </c>
      <c r="I59" s="470">
        <v>1049.075</v>
      </c>
      <c r="J59" s="461">
        <f>IF(H59=0, "    ---- ", IF(ABS(ROUND(100/H59*I59-100,1))&lt;999,ROUND(100/H59*I59-100,1),IF(ROUND(100/H59*I59-100,1)&gt;999,999,-999)))</f>
        <v>11.3</v>
      </c>
      <c r="K59" s="469">
        <v>39.508552999999999</v>
      </c>
      <c r="L59" s="470">
        <v>72.655000000000001</v>
      </c>
      <c r="M59" s="461">
        <f>IF(K59=0, "    ---- ", IF(ABS(ROUND(100/K59*L59-100,1))&lt;999,ROUND(100/K59*L59-100,1),IF(ROUND(100/K59*L59-100,1)&gt;999,999,-999)))</f>
        <v>83.9</v>
      </c>
      <c r="N59" s="469"/>
      <c r="O59" s="470"/>
      <c r="P59" s="461"/>
      <c r="Q59" s="469">
        <v>54.539132270000003</v>
      </c>
      <c r="R59" s="470">
        <v>3.4676915799999999</v>
      </c>
      <c r="S59" s="461">
        <f t="shared" si="31"/>
        <v>-93.6</v>
      </c>
      <c r="T59" s="469"/>
      <c r="U59" s="470"/>
      <c r="V59" s="461"/>
      <c r="W59" s="469">
        <v>88.97</v>
      </c>
      <c r="X59" s="470">
        <v>16.61</v>
      </c>
      <c r="Y59" s="461">
        <f t="shared" si="22"/>
        <v>-81.3</v>
      </c>
      <c r="Z59" s="469"/>
      <c r="AA59" s="470"/>
      <c r="AB59" s="461"/>
      <c r="AC59" s="469"/>
      <c r="AD59" s="470"/>
      <c r="AE59" s="461"/>
      <c r="AF59" s="469">
        <v>16.459820560000001</v>
      </c>
      <c r="AG59" s="470"/>
      <c r="AH59" s="461">
        <f>IF(AF59=0, "    ---- ", IF(ABS(ROUND(100/AF59*AG59-100,1))&lt;999,ROUND(100/AF59*AG59-100,1),IF(ROUND(100/AF59*AG59-100,1)&gt;999,999,-999)))</f>
        <v>-100</v>
      </c>
      <c r="AI59" s="469">
        <v>106.012</v>
      </c>
      <c r="AJ59" s="470">
        <v>114.04300000000001</v>
      </c>
      <c r="AK59" s="461">
        <f t="shared" si="17"/>
        <v>7.6</v>
      </c>
      <c r="AL59" s="469"/>
      <c r="AM59" s="470"/>
      <c r="AN59" s="461"/>
      <c r="AO59" s="459">
        <f t="shared" si="30"/>
        <v>1311.7605058299998</v>
      </c>
      <c r="AP59" s="460">
        <f t="shared" si="30"/>
        <v>1315.2346915799999</v>
      </c>
      <c r="AQ59" s="461">
        <f t="shared" si="19"/>
        <v>0.3</v>
      </c>
      <c r="AR59" s="459">
        <f t="shared" si="32"/>
        <v>1311.7605058299998</v>
      </c>
      <c r="AS59" s="460">
        <f t="shared" si="20"/>
        <v>1315.2346915799999</v>
      </c>
      <c r="AT59" s="582">
        <f t="shared" si="21"/>
        <v>0.3</v>
      </c>
      <c r="AU59" s="430"/>
      <c r="AV59" s="430"/>
      <c r="AW59" s="468"/>
    </row>
    <row r="60" spans="1:49" s="427" customFormat="1" ht="20.100000000000001" customHeight="1" x14ac:dyDescent="0.3">
      <c r="A60" s="525" t="s">
        <v>249</v>
      </c>
      <c r="B60" s="459">
        <v>13128.958999999999</v>
      </c>
      <c r="C60" s="470">
        <f>SUM(C48+C49+C50+C54)</f>
        <v>16087.298000000001</v>
      </c>
      <c r="D60" s="461">
        <f>IF(B60=0, "    ---- ", IF(ABS(ROUND(100/B60*C60-100,1))&lt;999,ROUND(100/B60*C60-100,1),IF(ROUND(100/B60*C60-100,1)&gt;999,999,-999)))</f>
        <v>22.5</v>
      </c>
      <c r="E60" s="469">
        <v>56416.800000000003</v>
      </c>
      <c r="F60" s="470">
        <f>SUM(F48+F49+F50+F54)</f>
        <v>70689.760999999999</v>
      </c>
      <c r="G60" s="461">
        <f t="shared" si="16"/>
        <v>25.3</v>
      </c>
      <c r="H60" s="469">
        <v>2500.424</v>
      </c>
      <c r="I60" s="470">
        <f>SUM(I48+I49+I50+I54)</f>
        <v>3022.5279999999998</v>
      </c>
      <c r="J60" s="461">
        <f>IF(H60=0, "    ---- ", IF(ABS(ROUND(100/H60*I60-100,1))&lt;999,ROUND(100/H60*I60-100,1),IF(ROUND(100/H60*I60-100,1)&gt;999,999,-999)))</f>
        <v>20.9</v>
      </c>
      <c r="K60" s="469">
        <v>16856.720850999998</v>
      </c>
      <c r="L60" s="470">
        <f>SUM(L48+L49+L50+L54)</f>
        <v>21451.220999999998</v>
      </c>
      <c r="M60" s="461">
        <f>IF(K60=0, "    ---- ", IF(ABS(ROUND(100/K60*L60-100,1))&lt;999,ROUND(100/K60*L60-100,1),IF(ROUND(100/K60*L60-100,1)&gt;999,999,-999)))</f>
        <v>27.3</v>
      </c>
      <c r="N60" s="469"/>
      <c r="O60" s="470"/>
      <c r="P60" s="461"/>
      <c r="Q60" s="469">
        <v>2199.3070151900001</v>
      </c>
      <c r="R60" s="470">
        <f>SUM(R48+R49+R50+R54)</f>
        <v>2329.3679544400002</v>
      </c>
      <c r="S60" s="461">
        <f t="shared" si="31"/>
        <v>5.9</v>
      </c>
      <c r="T60" s="469">
        <v>1486.6</v>
      </c>
      <c r="U60" s="470">
        <f>SUM(U48+U49+U50+U54)</f>
        <v>2432.5</v>
      </c>
      <c r="V60" s="461">
        <f>IF(T60=0, "    ---- ", IF(ABS(ROUND(100/T60*U60-100,1))&lt;999,ROUND(100/T60*U60-100,1),IF(ROUND(100/T60*U60-100,1)&gt;999,999,-999)))</f>
        <v>63.6</v>
      </c>
      <c r="W60" s="469">
        <v>44253.450000000004</v>
      </c>
      <c r="X60" s="470">
        <f>SUM(X48+X49+X50+X54)</f>
        <v>54647.56</v>
      </c>
      <c r="Y60" s="461">
        <f t="shared" si="22"/>
        <v>23.5</v>
      </c>
      <c r="Z60" s="469"/>
      <c r="AA60" s="470"/>
      <c r="AB60" s="461"/>
      <c r="AC60" s="469">
        <v>1613</v>
      </c>
      <c r="AD60" s="470">
        <f>SUM(AD48+AD49+AD50+AD54)</f>
        <v>1949</v>
      </c>
      <c r="AE60" s="461">
        <f>IF(AC60=0, "    ---- ", IF(ABS(ROUND(100/AC60*AD60-100,1))&lt;999,ROUND(100/AC60*AD60-100,1),IF(ROUND(100/AC60*AD60-100,1)&gt;999,999,-999)))</f>
        <v>20.8</v>
      </c>
      <c r="AF60" s="469">
        <v>448.39562898000003</v>
      </c>
      <c r="AG60" s="470">
        <f>SUM(AG48+AG49+AG50+AG54)</f>
        <v>0</v>
      </c>
      <c r="AH60" s="461">
        <f>IF(AF60=0, "    ---- ", IF(ABS(ROUND(100/AF60*AG60-100,1))&lt;999,ROUND(100/AF60*AG60-100,1),IF(ROUND(100/AF60*AG60-100,1)&gt;999,999,-999)))</f>
        <v>-100</v>
      </c>
      <c r="AI60" s="469">
        <v>17938.689999999999</v>
      </c>
      <c r="AJ60" s="470">
        <f>SUM(AJ48+AJ49+AJ50+AJ54)</f>
        <v>23610.829000000002</v>
      </c>
      <c r="AK60" s="461">
        <f t="shared" si="17"/>
        <v>31.6</v>
      </c>
      <c r="AL60" s="469">
        <v>61178.7</v>
      </c>
      <c r="AM60" s="470">
        <f>SUM(AM48+AM49+AM50+AM54)</f>
        <v>75698</v>
      </c>
      <c r="AN60" s="461">
        <f t="shared" si="24"/>
        <v>23.7</v>
      </c>
      <c r="AO60" s="459">
        <f t="shared" si="30"/>
        <v>216408.04649517004</v>
      </c>
      <c r="AP60" s="460">
        <f t="shared" si="30"/>
        <v>269969.06495443999</v>
      </c>
      <c r="AQ60" s="461">
        <f t="shared" si="19"/>
        <v>24.8</v>
      </c>
      <c r="AR60" s="459">
        <f t="shared" si="32"/>
        <v>218021.04649517004</v>
      </c>
      <c r="AS60" s="460">
        <f t="shared" si="20"/>
        <v>271918.06495443999</v>
      </c>
      <c r="AT60" s="582">
        <f t="shared" si="21"/>
        <v>24.7</v>
      </c>
      <c r="AU60" s="430"/>
      <c r="AV60" s="468"/>
      <c r="AW60" s="468"/>
    </row>
    <row r="61" spans="1:49" s="427" customFormat="1" ht="20.100000000000001" customHeight="1" x14ac:dyDescent="0.3">
      <c r="A61" s="492" t="s">
        <v>357</v>
      </c>
      <c r="B61" s="469"/>
      <c r="C61" s="470"/>
      <c r="D61" s="461"/>
      <c r="E61" s="469"/>
      <c r="F61" s="470"/>
      <c r="G61" s="461"/>
      <c r="H61" s="469"/>
      <c r="I61" s="470"/>
      <c r="J61" s="461"/>
      <c r="K61" s="469"/>
      <c r="L61" s="470"/>
      <c r="M61" s="461"/>
      <c r="N61" s="469"/>
      <c r="O61" s="470"/>
      <c r="P61" s="461"/>
      <c r="Q61" s="469"/>
      <c r="R61" s="470"/>
      <c r="S61" s="461"/>
      <c r="T61" s="469"/>
      <c r="U61" s="470"/>
      <c r="V61" s="461"/>
      <c r="W61" s="469"/>
      <c r="X61" s="470"/>
      <c r="Y61" s="461"/>
      <c r="Z61" s="469"/>
      <c r="AA61" s="470"/>
      <c r="AB61" s="461"/>
      <c r="AC61" s="469"/>
      <c r="AD61" s="470"/>
      <c r="AE61" s="461"/>
      <c r="AF61" s="469">
        <v>0.80797246</v>
      </c>
      <c r="AG61" s="470"/>
      <c r="AH61" s="461">
        <f>IF(AF61=0, "    ---- ", IF(ABS(ROUND(100/AF61*AG61-100,1))&lt;999,ROUND(100/AF61*AG61-100,1),IF(ROUND(100/AF61*AG61-100,1)&gt;999,999,-999)))</f>
        <v>-100</v>
      </c>
      <c r="AI61" s="469"/>
      <c r="AJ61" s="470"/>
      <c r="AK61" s="461"/>
      <c r="AL61" s="469"/>
      <c r="AM61" s="470"/>
      <c r="AN61" s="461"/>
      <c r="AO61" s="459">
        <f t="shared" si="30"/>
        <v>0.80797246</v>
      </c>
      <c r="AP61" s="460">
        <f t="shared" si="30"/>
        <v>0</v>
      </c>
      <c r="AQ61" s="461">
        <f t="shared" si="19"/>
        <v>-100</v>
      </c>
      <c r="AR61" s="459">
        <f t="shared" si="32"/>
        <v>0.80797246</v>
      </c>
      <c r="AS61" s="460">
        <f t="shared" si="20"/>
        <v>0</v>
      </c>
      <c r="AT61" s="582">
        <f t="shared" si="21"/>
        <v>-100</v>
      </c>
      <c r="AU61" s="430"/>
      <c r="AV61" s="430"/>
      <c r="AW61" s="468"/>
    </row>
    <row r="62" spans="1:49" s="427" customFormat="1" ht="20.100000000000001" customHeight="1" x14ac:dyDescent="0.3">
      <c r="A62" s="458" t="s">
        <v>250</v>
      </c>
      <c r="B62" s="459">
        <v>14161.892999999998</v>
      </c>
      <c r="C62" s="470">
        <f>SUM(C45+C46+C60+C61)</f>
        <v>17214.827000000001</v>
      </c>
      <c r="D62" s="461">
        <f>IF(B62=0, "    ---- ", IF(ABS(ROUND(100/B62*C62-100,1))&lt;999,ROUND(100/B62*C62-100,1),IF(ROUND(100/B62*C62-100,1)&gt;999,999,-999)))</f>
        <v>21.6</v>
      </c>
      <c r="E62" s="469">
        <v>265557.5</v>
      </c>
      <c r="F62" s="470">
        <f>SUM(F45+F46+F60+F61)</f>
        <v>280543.39300000004</v>
      </c>
      <c r="G62" s="461">
        <f t="shared" si="16"/>
        <v>5.6</v>
      </c>
      <c r="H62" s="469">
        <v>3317.221</v>
      </c>
      <c r="I62" s="470">
        <f>SUM(I45+I46+I60+I61)</f>
        <v>4005.4369999999999</v>
      </c>
      <c r="J62" s="461">
        <f>IF(H62=0, "    ---- ", IF(ABS(ROUND(100/H62*I62-100,1))&lt;999,ROUND(100/H62*I62-100,1),IF(ROUND(100/H62*I62-100,1)&gt;999,999,-999)))</f>
        <v>20.7</v>
      </c>
      <c r="K62" s="469">
        <v>22101.206850999999</v>
      </c>
      <c r="L62" s="470">
        <f>SUM(L45+L46+L60+L61)</f>
        <v>27325.702999999998</v>
      </c>
      <c r="M62" s="461">
        <f>IF(K62=0, "    ---- ", IF(ABS(ROUND(100/K62*L62-100,1))&lt;999,ROUND(100/K62*L62-100,1),IF(ROUND(100/K62*L62-100,1)&gt;999,999,-999)))</f>
        <v>23.6</v>
      </c>
      <c r="N62" s="469"/>
      <c r="O62" s="470"/>
      <c r="P62" s="461"/>
      <c r="Q62" s="469">
        <v>450144.64494239999</v>
      </c>
      <c r="R62" s="470">
        <f>SUM(R45+R46+R60+R61)</f>
        <v>482704.39007346</v>
      </c>
      <c r="S62" s="461">
        <f>IF(Q62=0, "    ---- ", IF(ABS(ROUND(100/Q62*R62-100,1))&lt;999,ROUND(100/Q62*R62-100,1),IF(ROUND(100/Q62*R62-100,1)&gt;999,999,-999)))</f>
        <v>7.2</v>
      </c>
      <c r="T62" s="469">
        <v>3021.3999999999996</v>
      </c>
      <c r="U62" s="470">
        <f>SUM(U45+U46+U60+U61)</f>
        <v>4041.9</v>
      </c>
      <c r="V62" s="461">
        <f>IF(T62=0, "    ---- ", IF(ABS(ROUND(100/T62*U62-100,1))&lt;999,ROUND(100/T62*U62-100,1),IF(ROUND(100/T62*U62-100,1)&gt;999,999,-999)))</f>
        <v>33.799999999999997</v>
      </c>
      <c r="W62" s="469">
        <v>93903.025413140014</v>
      </c>
      <c r="X62" s="470">
        <f>SUM(X45+X46+X60+X61)</f>
        <v>105403.68508059991</v>
      </c>
      <c r="Y62" s="461">
        <f t="shared" si="22"/>
        <v>12.2</v>
      </c>
      <c r="Z62" s="469">
        <v>73736</v>
      </c>
      <c r="AA62" s="470">
        <f>SUM(AA45+AA46+AA60+AA61)</f>
        <v>80124</v>
      </c>
      <c r="AB62" s="461">
        <f>IF(Z62=0, "    ---- ", IF(ABS(ROUND(100/Z62*AA62-100,1))&lt;999,ROUND(100/Z62*AA62-100,1),IF(ROUND(100/Z62*AA62-100,1)&gt;999,999,-999)))</f>
        <v>8.6999999999999993</v>
      </c>
      <c r="AC62" s="469">
        <v>1613</v>
      </c>
      <c r="AD62" s="470">
        <f>SUM(AD45+AD46+AD60+AD61)</f>
        <v>1949</v>
      </c>
      <c r="AE62" s="461">
        <f>IF(AC62=0, "    ---- ", IF(ABS(ROUND(100/AC62*AD62-100,1))&lt;999,ROUND(100/AC62*AD62-100,1),IF(ROUND(100/AC62*AD62-100,1)&gt;999,999,-999)))</f>
        <v>20.8</v>
      </c>
      <c r="AF62" s="469">
        <v>9127.9036447199996</v>
      </c>
      <c r="AG62" s="470">
        <f>SUM(AG45+AG46+AG60+AG61)</f>
        <v>0</v>
      </c>
      <c r="AH62" s="461">
        <f>IF(AF62=0, "    ---- ", IF(ABS(ROUND(100/AF62*AG62-100,1))&lt;999,ROUND(100/AF62*AG62-100,1),IF(ROUND(100/AF62*AG62-100,1)&gt;999,999,-999)))</f>
        <v>-100</v>
      </c>
      <c r="AI62" s="469">
        <v>38810.554999999993</v>
      </c>
      <c r="AJ62" s="470">
        <f>SUM(AJ45+AJ46+AJ60+AJ61)</f>
        <v>45961.493000000002</v>
      </c>
      <c r="AK62" s="461">
        <f t="shared" si="17"/>
        <v>18.399999999999999</v>
      </c>
      <c r="AL62" s="469">
        <v>248444.7</v>
      </c>
      <c r="AM62" s="470">
        <f>SUM(AM45+AM46+AM60+AM61)</f>
        <v>262175</v>
      </c>
      <c r="AN62" s="461">
        <f t="shared" si="24"/>
        <v>5.5</v>
      </c>
      <c r="AO62" s="459">
        <f t="shared" si="30"/>
        <v>1222326.0498512601</v>
      </c>
      <c r="AP62" s="460">
        <f t="shared" si="30"/>
        <v>1309499.8281540598</v>
      </c>
      <c r="AQ62" s="461">
        <f t="shared" si="19"/>
        <v>7.1</v>
      </c>
      <c r="AR62" s="459">
        <f t="shared" si="32"/>
        <v>1223939.0498512601</v>
      </c>
      <c r="AS62" s="460">
        <f t="shared" si="20"/>
        <v>1311448.8281540598</v>
      </c>
      <c r="AT62" s="582">
        <f t="shared" si="21"/>
        <v>7.1</v>
      </c>
      <c r="AU62" s="430"/>
      <c r="AV62" s="468"/>
      <c r="AW62" s="468"/>
    </row>
    <row r="63" spans="1:49" s="491" customFormat="1" ht="20.100000000000001" customHeight="1" x14ac:dyDescent="0.3">
      <c r="A63" s="492"/>
      <c r="B63" s="571"/>
      <c r="C63" s="572"/>
      <c r="D63" s="495"/>
      <c r="E63" s="571"/>
      <c r="F63" s="572"/>
      <c r="G63" s="495"/>
      <c r="H63" s="571"/>
      <c r="I63" s="572"/>
      <c r="J63" s="495"/>
      <c r="K63" s="571"/>
      <c r="L63" s="572"/>
      <c r="M63" s="583"/>
      <c r="N63" s="571"/>
      <c r="O63" s="572"/>
      <c r="P63" s="495"/>
      <c r="Q63" s="571"/>
      <c r="R63" s="572"/>
      <c r="S63" s="495"/>
      <c r="T63" s="571"/>
      <c r="U63" s="572"/>
      <c r="V63" s="495"/>
      <c r="W63" s="571"/>
      <c r="X63" s="572"/>
      <c r="Y63" s="495"/>
      <c r="Z63" s="571"/>
      <c r="AA63" s="572"/>
      <c r="AB63" s="495"/>
      <c r="AC63" s="571"/>
      <c r="AD63" s="572"/>
      <c r="AE63" s="495"/>
      <c r="AF63" s="571"/>
      <c r="AG63" s="572"/>
      <c r="AH63" s="495"/>
      <c r="AI63" s="571"/>
      <c r="AJ63" s="572"/>
      <c r="AK63" s="495"/>
      <c r="AL63" s="571"/>
      <c r="AM63" s="572"/>
      <c r="AN63" s="495"/>
      <c r="AO63" s="583"/>
      <c r="AP63" s="584"/>
      <c r="AQ63" s="495"/>
      <c r="AR63" s="583"/>
      <c r="AS63" s="584"/>
      <c r="AT63" s="585"/>
      <c r="AU63" s="586"/>
      <c r="AV63" s="586"/>
      <c r="AW63" s="587"/>
    </row>
    <row r="64" spans="1:49" s="491" customFormat="1" ht="20.100000000000001" customHeight="1" x14ac:dyDescent="0.3">
      <c r="A64" s="492" t="s">
        <v>251</v>
      </c>
      <c r="B64" s="459">
        <v>14489.368999999999</v>
      </c>
      <c r="C64" s="572">
        <f>SUM(C29+C62)</f>
        <v>17645.954000000002</v>
      </c>
      <c r="D64" s="495">
        <f>IF(B64=0, "    ---- ", IF(ABS(ROUND(100/B64*C64-100,1))&lt;999,ROUND(100/B64*C64-100,1),IF(ROUND(100/B64*C64-100,1)&gt;999,999,-999)))</f>
        <v>21.8</v>
      </c>
      <c r="E64" s="571">
        <v>295480.14</v>
      </c>
      <c r="F64" s="572">
        <f>SUM(F29+F62)</f>
        <v>311888.90400000004</v>
      </c>
      <c r="G64" s="495">
        <f t="shared" si="16"/>
        <v>5.6</v>
      </c>
      <c r="H64" s="571">
        <v>3707.4690000000001</v>
      </c>
      <c r="I64" s="572">
        <f>SUM(I29+I62)</f>
        <v>4430.8050000000003</v>
      </c>
      <c r="J64" s="495">
        <f>IF(H64=0, "    ---- ", IF(ABS(ROUND(100/H64*I64-100,1))&lt;999,ROUND(100/H64*I64-100,1),IF(ROUND(100/H64*I64-100,1)&gt;999,999,-999)))</f>
        <v>19.5</v>
      </c>
      <c r="K64" s="571">
        <v>23220.556850999998</v>
      </c>
      <c r="L64" s="572">
        <f>SUM(L29+L62)</f>
        <v>28429.008999999998</v>
      </c>
      <c r="M64" s="583">
        <f>IF(K64=0, "    ---- ", IF(ABS(ROUND(100/K64*L64-100,1))&lt;999,ROUND(100/K64*L64-100,1),IF(ROUND(100/K64*L64-100,1)&gt;999,999,-999)))</f>
        <v>22.4</v>
      </c>
      <c r="N64" s="571">
        <v>138</v>
      </c>
      <c r="O64" s="572">
        <f>SUM(O29+O62)</f>
        <v>140</v>
      </c>
      <c r="P64" s="495">
        <f>IF(N64=0, "    ---- ", IF(ABS(ROUND(100/N64*O64-100,1))&lt;999,ROUND(100/N64*O64-100,1),IF(ROUND(100/N64*O64-100,1)&gt;999,999,-999)))</f>
        <v>1.4</v>
      </c>
      <c r="Q64" s="571">
        <v>493243.14416713</v>
      </c>
      <c r="R64" s="572">
        <f>SUM(R29+R62)</f>
        <v>527488.39435861004</v>
      </c>
      <c r="S64" s="495">
        <f>IF(Q64=0, "    ---- ", IF(ABS(ROUND(100/Q64*R64-100,1))&lt;999,ROUND(100/Q64*R64-100,1),IF(ROUND(100/Q64*R64-100,1)&gt;999,999,-999)))</f>
        <v>6.9</v>
      </c>
      <c r="T64" s="571">
        <v>3374.0999999999995</v>
      </c>
      <c r="U64" s="572">
        <f>SUM(U29+U62)</f>
        <v>4592.3</v>
      </c>
      <c r="V64" s="495">
        <f>IF(T64=0, "    ---- ", IF(ABS(ROUND(100/T64*U64-100,1))&lt;999,ROUND(100/T64*U64-100,1),IF(ROUND(100/T64*U64-100,1)&gt;999,999,-999)))</f>
        <v>36.1</v>
      </c>
      <c r="W64" s="571">
        <v>102972.58541314001</v>
      </c>
      <c r="X64" s="572">
        <f>SUM(X29+X62)</f>
        <v>115009.82508059991</v>
      </c>
      <c r="Y64" s="495">
        <f t="shared" si="22"/>
        <v>11.7</v>
      </c>
      <c r="Z64" s="571">
        <v>82595</v>
      </c>
      <c r="AA64" s="572">
        <f>SUM(AA29+AA62)</f>
        <v>89698</v>
      </c>
      <c r="AB64" s="495">
        <f>IF(Z64=0, "    ---- ", IF(ABS(ROUND(100/Z64*AA64-100,1))&lt;999,ROUND(100/Z64*AA64-100,1),IF(ROUND(100/Z64*AA64-100,1)&gt;999,999,-999)))</f>
        <v>8.6</v>
      </c>
      <c r="AC64" s="571">
        <v>1642</v>
      </c>
      <c r="AD64" s="572">
        <f>SUM(AD29+AD62)</f>
        <v>1992</v>
      </c>
      <c r="AE64" s="495">
        <f>IF(AC64=0, "    ---- ", IF(ABS(ROUND(100/AC64*AD64-100,1))&lt;999,ROUND(100/AC64*AD64-100,1),IF(ROUND(100/AC64*AD64-100,1)&gt;999,999,-999)))</f>
        <v>21.3</v>
      </c>
      <c r="AF64" s="571">
        <v>9563.0486091900002</v>
      </c>
      <c r="AG64" s="572">
        <f>SUM(AG29+AG62)</f>
        <v>0</v>
      </c>
      <c r="AH64" s="495">
        <f>IF(AF64=0, "    ---- ", IF(ABS(ROUND(100/AF64*AG64-100,1))&lt;999,ROUND(100/AF64*AG64-100,1),IF(ROUND(100/AF64*AG64-100,1)&gt;999,999,-999)))</f>
        <v>-100</v>
      </c>
      <c r="AI64" s="571">
        <v>44265.811999999991</v>
      </c>
      <c r="AJ64" s="572">
        <f>SUM(AJ29+AJ62)</f>
        <v>52295.528000000006</v>
      </c>
      <c r="AK64" s="495">
        <f t="shared" si="17"/>
        <v>18.100000000000001</v>
      </c>
      <c r="AL64" s="571">
        <v>283025.7</v>
      </c>
      <c r="AM64" s="572">
        <f>SUM(AM29+AM62)</f>
        <v>296623</v>
      </c>
      <c r="AN64" s="495">
        <f t="shared" si="24"/>
        <v>4.8</v>
      </c>
      <c r="AO64" s="588">
        <f>B64+E64+H64+K64+Q64+T64+W64+Z64+AF64+AI64+AL64</f>
        <v>1355936.92504046</v>
      </c>
      <c r="AP64" s="584">
        <f>C64+F64+I64+L64+R64+U64+X64+AA64+AG64+AJ64+AM64</f>
        <v>1448101.7194392099</v>
      </c>
      <c r="AQ64" s="495">
        <f t="shared" si="19"/>
        <v>6.8</v>
      </c>
      <c r="AR64" s="588">
        <f t="shared" si="32"/>
        <v>1357716.92504046</v>
      </c>
      <c r="AS64" s="584">
        <f t="shared" si="32"/>
        <v>1450233.7194392099</v>
      </c>
      <c r="AT64" s="585">
        <f t="shared" si="21"/>
        <v>6.8</v>
      </c>
      <c r="AU64" s="586"/>
      <c r="AV64" s="468"/>
      <c r="AW64" s="468"/>
    </row>
    <row r="65" spans="1:49" s="427" customFormat="1" ht="20.100000000000001" customHeight="1" x14ac:dyDescent="0.3">
      <c r="A65" s="589"/>
      <c r="B65" s="469"/>
      <c r="C65" s="470"/>
      <c r="D65" s="461"/>
      <c r="E65" s="469"/>
      <c r="F65" s="470"/>
      <c r="G65" s="461"/>
      <c r="H65" s="469"/>
      <c r="I65" s="470"/>
      <c r="J65" s="461"/>
      <c r="K65" s="469"/>
      <c r="L65" s="470"/>
      <c r="M65" s="459"/>
      <c r="N65" s="469"/>
      <c r="O65" s="470"/>
      <c r="P65" s="461"/>
      <c r="Q65" s="469"/>
      <c r="R65" s="470"/>
      <c r="S65" s="461"/>
      <c r="T65" s="469"/>
      <c r="U65" s="470"/>
      <c r="V65" s="461"/>
      <c r="W65" s="469"/>
      <c r="X65" s="470"/>
      <c r="Y65" s="461"/>
      <c r="Z65" s="469"/>
      <c r="AA65" s="470"/>
      <c r="AB65" s="461"/>
      <c r="AC65" s="469"/>
      <c r="AD65" s="470"/>
      <c r="AE65" s="461"/>
      <c r="AF65" s="469"/>
      <c r="AG65" s="470"/>
      <c r="AH65" s="461"/>
      <c r="AI65" s="469"/>
      <c r="AJ65" s="470"/>
      <c r="AK65" s="461"/>
      <c r="AL65" s="469"/>
      <c r="AM65" s="470"/>
      <c r="AN65" s="461"/>
      <c r="AO65" s="459"/>
      <c r="AP65" s="460"/>
      <c r="AQ65" s="461"/>
      <c r="AR65" s="459"/>
      <c r="AS65" s="460"/>
      <c r="AT65" s="582"/>
      <c r="AU65" s="430"/>
      <c r="AV65" s="430"/>
      <c r="AW65" s="468"/>
    </row>
    <row r="66" spans="1:49" s="427" customFormat="1" ht="20.100000000000001" customHeight="1" x14ac:dyDescent="0.3">
      <c r="A66" s="492" t="s">
        <v>252</v>
      </c>
      <c r="B66" s="469"/>
      <c r="C66" s="470"/>
      <c r="D66" s="461"/>
      <c r="E66" s="469"/>
      <c r="F66" s="470"/>
      <c r="G66" s="461"/>
      <c r="H66" s="469"/>
      <c r="I66" s="470"/>
      <c r="J66" s="461"/>
      <c r="K66" s="469"/>
      <c r="L66" s="470"/>
      <c r="M66" s="459"/>
      <c r="N66" s="469"/>
      <c r="O66" s="470"/>
      <c r="P66" s="461"/>
      <c r="Q66" s="469"/>
      <c r="R66" s="470"/>
      <c r="S66" s="461"/>
      <c r="T66" s="469"/>
      <c r="U66" s="470"/>
      <c r="V66" s="461"/>
      <c r="W66" s="469"/>
      <c r="X66" s="470"/>
      <c r="Y66" s="461"/>
      <c r="Z66" s="469"/>
      <c r="AA66" s="470"/>
      <c r="AB66" s="461"/>
      <c r="AC66" s="469"/>
      <c r="AD66" s="470"/>
      <c r="AE66" s="461"/>
      <c r="AF66" s="469"/>
      <c r="AG66" s="470"/>
      <c r="AH66" s="461"/>
      <c r="AI66" s="469"/>
      <c r="AJ66" s="470"/>
      <c r="AK66" s="461"/>
      <c r="AL66" s="469"/>
      <c r="AM66" s="470"/>
      <c r="AN66" s="461"/>
      <c r="AO66" s="459"/>
      <c r="AP66" s="460"/>
      <c r="AQ66" s="461"/>
      <c r="AR66" s="459"/>
      <c r="AS66" s="460"/>
      <c r="AT66" s="582"/>
      <c r="AU66" s="430"/>
      <c r="AV66" s="430"/>
      <c r="AW66" s="468"/>
    </row>
    <row r="67" spans="1:49" s="427" customFormat="1" ht="20.100000000000001" customHeight="1" x14ac:dyDescent="0.3">
      <c r="A67" s="492"/>
      <c r="B67" s="469"/>
      <c r="C67" s="470"/>
      <c r="D67" s="461"/>
      <c r="E67" s="469"/>
      <c r="F67" s="470"/>
      <c r="G67" s="461"/>
      <c r="H67" s="469"/>
      <c r="I67" s="470"/>
      <c r="J67" s="461"/>
      <c r="K67" s="469"/>
      <c r="L67" s="470"/>
      <c r="M67" s="459"/>
      <c r="N67" s="469"/>
      <c r="O67" s="470"/>
      <c r="P67" s="461"/>
      <c r="Q67" s="469"/>
      <c r="R67" s="470"/>
      <c r="S67" s="461"/>
      <c r="T67" s="469"/>
      <c r="U67" s="470"/>
      <c r="V67" s="461"/>
      <c r="W67" s="469"/>
      <c r="X67" s="470"/>
      <c r="Y67" s="461"/>
      <c r="Z67" s="469"/>
      <c r="AA67" s="470"/>
      <c r="AB67" s="461"/>
      <c r="AC67" s="469"/>
      <c r="AD67" s="470"/>
      <c r="AE67" s="461"/>
      <c r="AF67" s="469"/>
      <c r="AG67" s="470"/>
      <c r="AH67" s="461"/>
      <c r="AI67" s="469"/>
      <c r="AJ67" s="470"/>
      <c r="AK67" s="461"/>
      <c r="AL67" s="469"/>
      <c r="AM67" s="470"/>
      <c r="AN67" s="461"/>
      <c r="AO67" s="459"/>
      <c r="AP67" s="460"/>
      <c r="AQ67" s="461"/>
      <c r="AR67" s="459"/>
      <c r="AS67" s="460"/>
      <c r="AT67" s="582"/>
      <c r="AU67" s="430"/>
      <c r="AV67" s="430"/>
      <c r="AW67" s="468"/>
    </row>
    <row r="68" spans="1:49" s="427" customFormat="1" ht="20.100000000000001" customHeight="1" x14ac:dyDescent="0.3">
      <c r="A68" s="458" t="s">
        <v>253</v>
      </c>
      <c r="B68" s="469">
        <v>141.16</v>
      </c>
      <c r="C68" s="470">
        <v>141.16</v>
      </c>
      <c r="D68" s="461">
        <f>IF(B68=0, "    ---- ", IF(ABS(ROUND(100/B68*C68-100,1))&lt;999,ROUND(100/B68*C68-100,1),IF(ROUND(100/B68*C68-100,1)&gt;999,999,-999)))</f>
        <v>0</v>
      </c>
      <c r="E68" s="469">
        <v>7765.9</v>
      </c>
      <c r="F68" s="470">
        <v>7765.924</v>
      </c>
      <c r="G68" s="461">
        <f t="shared" si="16"/>
        <v>0</v>
      </c>
      <c r="H68" s="469">
        <v>175</v>
      </c>
      <c r="I68" s="470">
        <v>175</v>
      </c>
      <c r="J68" s="461">
        <f>IF(H68=0, "    ---- ", IF(ABS(ROUND(100/H68*I68-100,1))&lt;999,ROUND(100/H68*I68-100,1),IF(ROUND(100/H68*I68-100,1)&gt;999,999,-999)))</f>
        <v>0</v>
      </c>
      <c r="K68" s="469">
        <v>119.67400000000001</v>
      </c>
      <c r="L68" s="470">
        <v>119.788</v>
      </c>
      <c r="M68" s="459">
        <f>IF(K68=0, "    ---- ", IF(ABS(ROUND(100/K68*L68-100,1))&lt;999,ROUND(100/K68*L68-100,1),IF(ROUND(100/K68*L68-100,1)&gt;999,999,-999)))</f>
        <v>0.1</v>
      </c>
      <c r="N68" s="469">
        <v>5</v>
      </c>
      <c r="O68" s="470">
        <v>5</v>
      </c>
      <c r="P68" s="461">
        <f>IF(N68=0, "    ---- ", IF(ABS(ROUND(100/N68*O68-100,1))&lt;999,ROUND(100/N68*O68-100,1),IF(ROUND(100/N68*O68-100,1)&gt;999,999,-999)))</f>
        <v>0</v>
      </c>
      <c r="Q68" s="469">
        <v>11722.977805</v>
      </c>
      <c r="R68" s="470">
        <v>13120.629885</v>
      </c>
      <c r="S68" s="461">
        <f t="shared" ref="S68:S79" si="33">IF(Q68=0, "    ---- ", IF(ABS(ROUND(100/Q68*R68-100,1))&lt;999,ROUND(100/Q68*R68-100,1),IF(ROUND(100/Q68*R68-100,1)&gt;999,999,-999)))</f>
        <v>11.9</v>
      </c>
      <c r="T68" s="469">
        <v>501.3</v>
      </c>
      <c r="U68" s="470">
        <v>741.3</v>
      </c>
      <c r="V68" s="461">
        <f>IF(T68=0, "    ---- ", IF(ABS(ROUND(100/T68*U68-100,1))&lt;999,ROUND(100/T68*U68-100,1),IF(ROUND(100/T68*U68-100,1)&gt;999,999,-999)))</f>
        <v>47.9</v>
      </c>
      <c r="W68" s="469">
        <v>1126.76</v>
      </c>
      <c r="X68" s="470">
        <v>1126.76</v>
      </c>
      <c r="Y68" s="461">
        <f t="shared" si="22"/>
        <v>0</v>
      </c>
      <c r="Z68" s="469">
        <v>1430</v>
      </c>
      <c r="AA68" s="470">
        <v>1430</v>
      </c>
      <c r="AB68" s="461">
        <f>IF(Z68=0, "    ---- ", IF(ABS(ROUND(100/Z68*AA68-100,1))&lt;999,ROUND(100/Z68*AA68-100,1),IF(ROUND(100/Z68*AA68-100,1)&gt;999,999,-999)))</f>
        <v>0</v>
      </c>
      <c r="AC68" s="469">
        <v>49</v>
      </c>
      <c r="AD68" s="470">
        <v>49</v>
      </c>
      <c r="AE68" s="461">
        <f>IF(AC68=0, "    ---- ", IF(ABS(ROUND(100/AC68*AD68-100,1))&lt;999,ROUND(100/AC68*AD68-100,1),IF(ROUND(100/AC68*AD68-100,1)&gt;999,999,-999)))</f>
        <v>0</v>
      </c>
      <c r="AF68" s="469">
        <v>419.73989618000002</v>
      </c>
      <c r="AG68" s="470"/>
      <c r="AH68" s="461">
        <f>IF(AF68=0, "    ---- ", IF(ABS(ROUND(100/AF68*AG68-100,1))&lt;999,ROUND(100/AF68*AG68-100,1),IF(ROUND(100/AF68*AG68-100,1)&gt;999,999,-999)))</f>
        <v>-100</v>
      </c>
      <c r="AI68" s="469">
        <v>2491.1880000000001</v>
      </c>
      <c r="AJ68" s="470">
        <v>2491.1880000000001</v>
      </c>
      <c r="AK68" s="461">
        <f t="shared" si="17"/>
        <v>0</v>
      </c>
      <c r="AL68" s="469">
        <v>13251</v>
      </c>
      <c r="AM68" s="470">
        <v>13251</v>
      </c>
      <c r="AN68" s="461">
        <f t="shared" si="24"/>
        <v>0</v>
      </c>
      <c r="AO68" s="459">
        <f t="shared" ref="AO68:AP71" si="34">B68+E68+H68+K68+Q68+T68+W68+Z68+AF68+AI68+AL68</f>
        <v>39144.699701179998</v>
      </c>
      <c r="AP68" s="460">
        <f t="shared" si="34"/>
        <v>40362.749884999997</v>
      </c>
      <c r="AQ68" s="461">
        <f t="shared" si="19"/>
        <v>3.1</v>
      </c>
      <c r="AR68" s="459">
        <f t="shared" si="20"/>
        <v>39198.699701179998</v>
      </c>
      <c r="AS68" s="460">
        <f t="shared" si="20"/>
        <v>40416.749884999997</v>
      </c>
      <c r="AT68" s="582">
        <f t="shared" si="21"/>
        <v>3.1</v>
      </c>
      <c r="AU68" s="430"/>
      <c r="AV68" s="430"/>
      <c r="AW68" s="468"/>
    </row>
    <row r="69" spans="1:49" s="427" customFormat="1" ht="20.100000000000001" customHeight="1" x14ac:dyDescent="0.3">
      <c r="A69" s="458" t="s">
        <v>254</v>
      </c>
      <c r="B69" s="469">
        <v>203.227</v>
      </c>
      <c r="C69" s="470">
        <v>287.79199999999997</v>
      </c>
      <c r="D69" s="461">
        <f>IF(B69=0, "    ---- ", IF(ABS(ROUND(100/B69*C69-100,1))&lt;999,ROUND(100/B69*C69-100,1),IF(ROUND(100/B69*C69-100,1)&gt;999,999,-999)))</f>
        <v>41.6</v>
      </c>
      <c r="E69" s="469">
        <v>14333.9</v>
      </c>
      <c r="F69" s="470">
        <v>16300.504999999999</v>
      </c>
      <c r="G69" s="461">
        <f t="shared" si="16"/>
        <v>13.7</v>
      </c>
      <c r="H69" s="469">
        <v>128.352</v>
      </c>
      <c r="I69" s="470">
        <v>157.34200000000001</v>
      </c>
      <c r="J69" s="461">
        <f>IF(H69=0, "    ---- ", IF(ABS(ROUND(100/H69*I69-100,1))&lt;999,ROUND(100/H69*I69-100,1),IF(ROUND(100/H69*I69-100,1)&gt;999,999,-999)))</f>
        <v>22.6</v>
      </c>
      <c r="K69" s="469">
        <v>515.06799999999998</v>
      </c>
      <c r="L69" s="470">
        <v>590.5</v>
      </c>
      <c r="M69" s="459">
        <f>IF(K69=0, "    ---- ", IF(ABS(ROUND(100/K69*L69-100,1))&lt;999,ROUND(100/K69*L69-100,1),IF(ROUND(100/K69*L69-100,1)&gt;999,999,-999)))</f>
        <v>14.6</v>
      </c>
      <c r="N69" s="469">
        <v>51</v>
      </c>
      <c r="O69" s="470">
        <v>66</v>
      </c>
      <c r="P69" s="461">
        <f>IF(N69=0, "    ---- ", IF(ABS(ROUND(100/N69*O69-100,1))&lt;999,ROUND(100/N69*O69-100,1),IF(ROUND(100/N69*O69-100,1)&gt;999,999,-999)))</f>
        <v>29.4</v>
      </c>
      <c r="Q69" s="469">
        <v>15063.649810209999</v>
      </c>
      <c r="R69" s="470">
        <v>17354.440980610001</v>
      </c>
      <c r="S69" s="461">
        <f t="shared" si="33"/>
        <v>15.2</v>
      </c>
      <c r="T69" s="469">
        <v>-175.8</v>
      </c>
      <c r="U69" s="470">
        <v>-216.2</v>
      </c>
      <c r="V69" s="461">
        <f>IF(T69=0, "    ---- ", IF(ABS(ROUND(100/T69*U69-100,1))&lt;999,ROUND(100/T69*U69-100,1),IF(ROUND(100/T69*U69-100,1)&gt;999,999,-999)))</f>
        <v>23</v>
      </c>
      <c r="W69" s="469">
        <v>4779.8100000000004</v>
      </c>
      <c r="X69" s="470">
        <v>5859.85</v>
      </c>
      <c r="Y69" s="461">
        <f t="shared" si="22"/>
        <v>22.6</v>
      </c>
      <c r="Z69" s="469">
        <v>5443</v>
      </c>
      <c r="AA69" s="470">
        <v>6236</v>
      </c>
      <c r="AB69" s="461">
        <f>IF(Z69=0, "    ---- ", IF(ABS(ROUND(100/Z69*AA69-100,1))&lt;999,ROUND(100/Z69*AA69-100,1),IF(ROUND(100/Z69*AA69-100,1)&gt;999,999,-999)))</f>
        <v>14.6</v>
      </c>
      <c r="AC69" s="469">
        <v>-22</v>
      </c>
      <c r="AD69" s="470">
        <v>-10</v>
      </c>
      <c r="AE69" s="461">
        <f>IF(AC69=0, "    ---- ", IF(ABS(ROUND(100/AC69*AD69-100,1))&lt;999,ROUND(100/AC69*AD69-100,1),IF(ROUND(100/AC69*AD69-100,1)&gt;999,999,-999)))</f>
        <v>-54.5</v>
      </c>
      <c r="AF69" s="469">
        <v>-11.95519625</v>
      </c>
      <c r="AG69" s="470"/>
      <c r="AH69" s="461">
        <f>IF(AF69=0, "    ---- ", IF(ABS(ROUND(100/AF69*AG69-100,1))&lt;999,ROUND(100/AF69*AG69-100,1),IF(ROUND(100/AF69*AG69-100,1)&gt;999,999,-999)))</f>
        <v>-100</v>
      </c>
      <c r="AI69" s="469">
        <v>1455.0630000000001</v>
      </c>
      <c r="AJ69" s="470">
        <v>1478.1310000000001</v>
      </c>
      <c r="AK69" s="461">
        <f t="shared" si="17"/>
        <v>1.6</v>
      </c>
      <c r="AL69" s="469">
        <v>10923</v>
      </c>
      <c r="AM69" s="470">
        <v>12418</v>
      </c>
      <c r="AN69" s="461">
        <f t="shared" si="24"/>
        <v>13.7</v>
      </c>
      <c r="AO69" s="459">
        <f t="shared" si="34"/>
        <v>52657.314613960007</v>
      </c>
      <c r="AP69" s="460">
        <f t="shared" si="34"/>
        <v>60466.360980609999</v>
      </c>
      <c r="AQ69" s="461">
        <f t="shared" si="19"/>
        <v>14.8</v>
      </c>
      <c r="AR69" s="459">
        <f t="shared" si="20"/>
        <v>52686.314613960007</v>
      </c>
      <c r="AS69" s="460">
        <f t="shared" si="20"/>
        <v>60522.360980609999</v>
      </c>
      <c r="AT69" s="582">
        <f t="shared" si="21"/>
        <v>14.9</v>
      </c>
      <c r="AU69" s="430"/>
      <c r="AV69" s="430"/>
      <c r="AW69" s="468"/>
    </row>
    <row r="70" spans="1:49" s="427" customFormat="1" ht="20.100000000000001" customHeight="1" x14ac:dyDescent="0.3">
      <c r="A70" s="458" t="s">
        <v>255</v>
      </c>
      <c r="B70" s="469">
        <v>3.4529999999999998</v>
      </c>
      <c r="C70" s="470">
        <v>3.4529999999999998</v>
      </c>
      <c r="D70" s="461"/>
      <c r="E70" s="469">
        <v>319.2</v>
      </c>
      <c r="F70" s="470">
        <v>406.78399999999999</v>
      </c>
      <c r="G70" s="461">
        <f>IF(E70=0, "    ---- ", IF(ABS(ROUND(100/E70*F70-100,1))&lt;999,ROUND(100/E70*F70-100,1),IF(ROUND(100/E70*F70-100,1)&gt;999,999,-999)))</f>
        <v>27.4</v>
      </c>
      <c r="H70" s="469"/>
      <c r="I70" s="470"/>
      <c r="J70" s="461"/>
      <c r="K70" s="469"/>
      <c r="L70" s="470"/>
      <c r="M70" s="461"/>
      <c r="N70" s="469"/>
      <c r="O70" s="470"/>
      <c r="P70" s="461"/>
      <c r="Q70" s="469">
        <v>3363.8486469999998</v>
      </c>
      <c r="R70" s="470">
        <v>3906.7875840000002</v>
      </c>
      <c r="S70" s="461">
        <f t="shared" si="33"/>
        <v>16.100000000000001</v>
      </c>
      <c r="T70" s="469"/>
      <c r="U70" s="470"/>
      <c r="V70" s="461"/>
      <c r="W70" s="469">
        <v>112.24</v>
      </c>
      <c r="X70" s="470">
        <v>97.2</v>
      </c>
      <c r="Y70" s="461">
        <f t="shared" si="22"/>
        <v>-13.4</v>
      </c>
      <c r="Z70" s="469"/>
      <c r="AA70" s="470"/>
      <c r="AB70" s="461"/>
      <c r="AC70" s="469"/>
      <c r="AD70" s="470"/>
      <c r="AE70" s="461"/>
      <c r="AF70" s="469"/>
      <c r="AG70" s="470"/>
      <c r="AH70" s="461"/>
      <c r="AI70" s="469">
        <v>75.727000000000004</v>
      </c>
      <c r="AJ70" s="470">
        <v>37.783000000000001</v>
      </c>
      <c r="AK70" s="461">
        <f>IF(AI70=0, "    ---- ", IF(ABS(ROUND(100/AI70*AJ70-100,1))&lt;999,ROUND(100/AI70*AJ70-100,1),IF(ROUND(100/AI70*AJ70-100,1)&gt;999,999,-999)))</f>
        <v>-50.1</v>
      </c>
      <c r="AL70" s="469">
        <v>139</v>
      </c>
      <c r="AM70" s="470">
        <v>146</v>
      </c>
      <c r="AN70" s="461">
        <f t="shared" si="24"/>
        <v>5</v>
      </c>
      <c r="AO70" s="459">
        <f t="shared" si="34"/>
        <v>4013.4686469999992</v>
      </c>
      <c r="AP70" s="460">
        <f t="shared" si="34"/>
        <v>4598.007584</v>
      </c>
      <c r="AQ70" s="461">
        <f t="shared" si="19"/>
        <v>14.6</v>
      </c>
      <c r="AR70" s="459">
        <f t="shared" si="20"/>
        <v>4013.4686469999992</v>
      </c>
      <c r="AS70" s="460">
        <f t="shared" si="20"/>
        <v>4598.007584</v>
      </c>
      <c r="AT70" s="582">
        <f t="shared" si="21"/>
        <v>14.6</v>
      </c>
      <c r="AU70" s="430"/>
      <c r="AV70" s="430"/>
      <c r="AW70" s="468"/>
    </row>
    <row r="71" spans="1:49" s="427" customFormat="1" ht="20.100000000000001" customHeight="1" x14ac:dyDescent="0.3">
      <c r="A71" s="458" t="s">
        <v>256</v>
      </c>
      <c r="B71" s="469"/>
      <c r="C71" s="470"/>
      <c r="D71" s="461"/>
      <c r="E71" s="469">
        <v>5500</v>
      </c>
      <c r="F71" s="470">
        <v>5500</v>
      </c>
      <c r="G71" s="461">
        <f t="shared" si="16"/>
        <v>0</v>
      </c>
      <c r="H71" s="469"/>
      <c r="I71" s="470"/>
      <c r="J71" s="461"/>
      <c r="K71" s="469">
        <v>299.39999999999998</v>
      </c>
      <c r="L71" s="470">
        <v>299.54199999999997</v>
      </c>
      <c r="M71" s="459">
        <f>IF(K71=0, "    ---- ", IF(ABS(ROUND(100/K71*L71-100,1))&lt;999,ROUND(100/K71*L71-100,1),IF(ROUND(100/K71*L71-100,1)&gt;999,999,-999)))</f>
        <v>0</v>
      </c>
      <c r="N71" s="469"/>
      <c r="O71" s="470"/>
      <c r="P71" s="461"/>
      <c r="Q71" s="469">
        <v>7913.8323901899994</v>
      </c>
      <c r="R71" s="470">
        <v>7854.8015988199995</v>
      </c>
      <c r="S71" s="461">
        <f t="shared" si="33"/>
        <v>-0.7</v>
      </c>
      <c r="T71" s="469"/>
      <c r="U71" s="470"/>
      <c r="V71" s="461"/>
      <c r="W71" s="469">
        <v>2830</v>
      </c>
      <c r="X71" s="470">
        <v>2830</v>
      </c>
      <c r="Y71" s="461">
        <f t="shared" si="22"/>
        <v>0</v>
      </c>
      <c r="Z71" s="469">
        <v>1240</v>
      </c>
      <c r="AA71" s="470">
        <v>1240</v>
      </c>
      <c r="AB71" s="461">
        <f>IF(Z71=0, "    ---- ", IF(ABS(ROUND(100/Z71*AA71-100,1))&lt;999,ROUND(100/Z71*AA71-100,1),IF(ROUND(100/Z71*AA71-100,1)&gt;999,999,-999)))</f>
        <v>0</v>
      </c>
      <c r="AC71" s="469"/>
      <c r="AD71" s="470"/>
      <c r="AE71" s="461"/>
      <c r="AF71" s="469"/>
      <c r="AG71" s="470"/>
      <c r="AH71" s="461"/>
      <c r="AI71" s="469"/>
      <c r="AJ71" s="470">
        <v>1000</v>
      </c>
      <c r="AK71" s="461" t="str">
        <f t="shared" si="17"/>
        <v xml:space="preserve">    ---- </v>
      </c>
      <c r="AL71" s="469">
        <v>6593</v>
      </c>
      <c r="AM71" s="470">
        <v>7395</v>
      </c>
      <c r="AN71" s="461">
        <f t="shared" si="24"/>
        <v>12.2</v>
      </c>
      <c r="AO71" s="459">
        <f t="shared" si="34"/>
        <v>24376.232390189998</v>
      </c>
      <c r="AP71" s="460">
        <f t="shared" si="34"/>
        <v>26119.34359882</v>
      </c>
      <c r="AQ71" s="461">
        <f t="shared" si="19"/>
        <v>7.2</v>
      </c>
      <c r="AR71" s="459">
        <f t="shared" si="20"/>
        <v>24376.232390189998</v>
      </c>
      <c r="AS71" s="460">
        <f t="shared" si="20"/>
        <v>26119.34359882</v>
      </c>
      <c r="AT71" s="582">
        <f t="shared" si="21"/>
        <v>7.2</v>
      </c>
      <c r="AU71" s="430"/>
      <c r="AW71" s="468"/>
    </row>
    <row r="72" spans="1:49" s="427" customFormat="1" ht="20.100000000000001" customHeight="1" x14ac:dyDescent="0.3">
      <c r="A72" s="458" t="s">
        <v>257</v>
      </c>
      <c r="B72" s="469"/>
      <c r="C72" s="470"/>
      <c r="D72" s="461"/>
      <c r="E72" s="469"/>
      <c r="F72" s="470"/>
      <c r="G72" s="461"/>
      <c r="H72" s="469"/>
      <c r="I72" s="470"/>
      <c r="J72" s="461"/>
      <c r="K72" s="469"/>
      <c r="L72" s="470"/>
      <c r="M72" s="459"/>
      <c r="N72" s="469"/>
      <c r="O72" s="470"/>
      <c r="P72" s="461"/>
      <c r="Q72" s="469"/>
      <c r="R72" s="470"/>
      <c r="S72" s="461"/>
      <c r="T72" s="469"/>
      <c r="U72" s="470"/>
      <c r="V72" s="461"/>
      <c r="W72" s="469"/>
      <c r="X72" s="470"/>
      <c r="Y72" s="461"/>
      <c r="Z72" s="469"/>
      <c r="AA72" s="470"/>
      <c r="AB72" s="461"/>
      <c r="AC72" s="469"/>
      <c r="AD72" s="470"/>
      <c r="AE72" s="461"/>
      <c r="AF72" s="469"/>
      <c r="AG72" s="470"/>
      <c r="AH72" s="461"/>
      <c r="AI72" s="469"/>
      <c r="AJ72" s="470"/>
      <c r="AK72" s="461"/>
      <c r="AL72" s="469"/>
      <c r="AM72" s="470"/>
      <c r="AN72" s="461"/>
      <c r="AO72" s="459"/>
      <c r="AP72" s="460"/>
      <c r="AQ72" s="461"/>
      <c r="AR72" s="459"/>
      <c r="AS72" s="460"/>
      <c r="AT72" s="582"/>
      <c r="AU72" s="430"/>
      <c r="AV72" s="468"/>
      <c r="AW72" s="468"/>
    </row>
    <row r="73" spans="1:49" s="427" customFormat="1" ht="20.100000000000001" customHeight="1" x14ac:dyDescent="0.3">
      <c r="A73" s="458" t="s">
        <v>391</v>
      </c>
      <c r="B73" s="469">
        <v>812.62199999999996</v>
      </c>
      <c r="C73" s="470">
        <v>886.36500000000001</v>
      </c>
      <c r="D73" s="461">
        <f>IF(B73=0, "    ---- ", IF(ABS(ROUND(100/B73*C73-100,1))&lt;999,ROUND(100/B73*C73-100,1),IF(ROUND(100/B73*C73-100,1)&gt;999,999,-999)))</f>
        <v>9.1</v>
      </c>
      <c r="E73" s="469">
        <v>200244.80000000002</v>
      </c>
      <c r="F73" s="470">
        <v>198522.76500000001</v>
      </c>
      <c r="G73" s="461">
        <f t="shared" si="16"/>
        <v>-0.9</v>
      </c>
      <c r="H73" s="469">
        <v>795.98599999999999</v>
      </c>
      <c r="I73" s="470">
        <v>940.60900000000004</v>
      </c>
      <c r="J73" s="461">
        <f>IF(H73=0, "    ---- ", IF(ABS(ROUND(100/H73*I73-100,1))&lt;999,ROUND(100/H73*I73-100,1),IF(ROUND(100/H73*I73-100,1)&gt;999,999,-999)))</f>
        <v>18.2</v>
      </c>
      <c r="K73" s="469">
        <v>5058.3099999999995</v>
      </c>
      <c r="L73" s="470">
        <v>5628.8990000000003</v>
      </c>
      <c r="M73" s="459">
        <f>IF(K73=0, "    ---- ", IF(ABS(ROUND(100/K73*L73-100,1))&lt;999,ROUND(100/K73*L73-100,1),IF(ROUND(100/K73*L73-100,1)&gt;999,999,-999)))</f>
        <v>11.3</v>
      </c>
      <c r="N73" s="469">
        <v>77</v>
      </c>
      <c r="O73" s="470">
        <v>62</v>
      </c>
      <c r="P73" s="459">
        <f>IF(N73=0, "    ---- ", IF(ABS(ROUND(100/N73*O73-100,1))&lt;999,ROUND(100/N73*O73-100,1),IF(ROUND(100/N73*O73-100,1)&gt;999,999,-999)))</f>
        <v>-19.5</v>
      </c>
      <c r="Q73" s="469">
        <v>376070.98480753996</v>
      </c>
      <c r="R73" s="470">
        <v>397098.35866309004</v>
      </c>
      <c r="S73" s="461">
        <f t="shared" si="33"/>
        <v>5.6</v>
      </c>
      <c r="T73" s="469">
        <v>1397.8</v>
      </c>
      <c r="U73" s="470">
        <v>1461.1</v>
      </c>
      <c r="V73" s="461">
        <f>IF(T73=0, "    ---- ", IF(ABS(ROUND(100/T73*U73-100,1))&lt;999,ROUND(100/T73*U73-100,1),IF(ROUND(100/T73*U73-100,1)&gt;999,999,-999)))</f>
        <v>4.5</v>
      </c>
      <c r="W73" s="469">
        <v>45443.87</v>
      </c>
      <c r="X73" s="470">
        <v>46250.085082999998</v>
      </c>
      <c r="Y73" s="461">
        <f t="shared" si="22"/>
        <v>1.8</v>
      </c>
      <c r="Z73" s="469">
        <v>57750</v>
      </c>
      <c r="AA73" s="470">
        <v>59728</v>
      </c>
      <c r="AB73" s="461">
        <f>IF(Z73=0, "    ---- ", IF(ABS(ROUND(100/Z73*AA73-100,1))&lt;999,ROUND(100/Z73*AA73-100,1),IF(ROUND(100/Z73*AA73-100,1)&gt;999,999,-999)))</f>
        <v>3.4</v>
      </c>
      <c r="AC73" s="469"/>
      <c r="AD73" s="470"/>
      <c r="AE73" s="461"/>
      <c r="AF73" s="469">
        <v>8266.3428661300004</v>
      </c>
      <c r="AG73" s="470"/>
      <c r="AH73" s="461">
        <f>IF(AF73=0, "    ---- ", IF(ABS(ROUND(100/AF73*AG73-100,1))&lt;999,ROUND(100/AF73*AG73-100,1),IF(ROUND(100/AF73*AG73-100,1)&gt;999,999,-999)))</f>
        <v>-100</v>
      </c>
      <c r="AI73" s="469">
        <v>17798.848999999998</v>
      </c>
      <c r="AJ73" s="470">
        <v>19042.751</v>
      </c>
      <c r="AK73" s="461">
        <f t="shared" si="17"/>
        <v>7</v>
      </c>
      <c r="AL73" s="469">
        <v>166815</v>
      </c>
      <c r="AM73" s="470">
        <v>169626</v>
      </c>
      <c r="AN73" s="461">
        <f t="shared" si="24"/>
        <v>1.7</v>
      </c>
      <c r="AO73" s="459">
        <f t="shared" ref="AO73:AP79" si="35">B73+E73+H73+K73+Q73+T73+W73+Z73+AF73+AI73+AL73</f>
        <v>880454.5646736701</v>
      </c>
      <c r="AP73" s="460">
        <f t="shared" si="35"/>
        <v>899184.93274609011</v>
      </c>
      <c r="AQ73" s="461">
        <f t="shared" si="19"/>
        <v>2.1</v>
      </c>
      <c r="AR73" s="459">
        <f t="shared" si="20"/>
        <v>880531.5646736701</v>
      </c>
      <c r="AS73" s="460">
        <f t="shared" si="20"/>
        <v>899246.93274609011</v>
      </c>
      <c r="AT73" s="582">
        <f t="shared" si="21"/>
        <v>2.1</v>
      </c>
      <c r="AU73" s="430"/>
      <c r="AV73" s="430"/>
      <c r="AW73" s="468"/>
    </row>
    <row r="74" spans="1:49" s="427" customFormat="1" ht="20.100000000000001" customHeight="1" x14ac:dyDescent="0.3">
      <c r="A74" s="458" t="s">
        <v>258</v>
      </c>
      <c r="B74" s="469">
        <v>14.448</v>
      </c>
      <c r="C74" s="470">
        <v>14.78</v>
      </c>
      <c r="D74" s="461">
        <f>IF(B74=0, "    ---- ", IF(ABS(ROUND(100/B74*C74-100,1))&lt;999,ROUND(100/B74*C74-100,1),IF(ROUND(100/B74*C74-100,1)&gt;999,999,-999)))</f>
        <v>2.2999999999999998</v>
      </c>
      <c r="E74" s="469">
        <v>6034.9</v>
      </c>
      <c r="F74" s="470">
        <v>6576.0169999999998</v>
      </c>
      <c r="G74" s="461">
        <f t="shared" si="16"/>
        <v>9</v>
      </c>
      <c r="H74" s="469">
        <v>0.24</v>
      </c>
      <c r="I74" s="470">
        <v>1.587</v>
      </c>
      <c r="J74" s="461">
        <f>IF(H74=0, "    ---- ", IF(ABS(ROUND(100/H74*I74-100,1))&lt;999,ROUND(100/H74*I74-100,1),IF(ROUND(100/H74*I74-100,1)&gt;999,999,-999)))</f>
        <v>561.29999999999995</v>
      </c>
      <c r="K74" s="469">
        <v>143.518</v>
      </c>
      <c r="L74" s="470">
        <v>165.46199999999999</v>
      </c>
      <c r="M74" s="459">
        <f>IF(K74=0, "    ---- ", IF(ABS(ROUND(100/K74*L74-100,1))&lt;999,ROUND(100/K74*L74-100,1),IF(ROUND(100/K74*L74-100,1)&gt;999,999,-999)))</f>
        <v>15.3</v>
      </c>
      <c r="N74" s="469"/>
      <c r="O74" s="470"/>
      <c r="P74" s="461"/>
      <c r="Q74" s="469">
        <v>20258.72452</v>
      </c>
      <c r="R74" s="470">
        <v>24291.204881000001</v>
      </c>
      <c r="S74" s="461">
        <f t="shared" si="33"/>
        <v>19.899999999999999</v>
      </c>
      <c r="T74" s="469">
        <v>37.299999999999997</v>
      </c>
      <c r="U74" s="470">
        <v>46.5</v>
      </c>
      <c r="V74" s="461">
        <f>IF(T74=0, "    ---- ", IF(ABS(ROUND(100/T74*U74-100,1))&lt;999,ROUND(100/T74*U74-100,1),IF(ROUND(100/T74*U74-100,1)&gt;999,999,-999)))</f>
        <v>24.7</v>
      </c>
      <c r="W74" s="469">
        <v>1168.6600000000001</v>
      </c>
      <c r="X74" s="470">
        <v>1300.2</v>
      </c>
      <c r="Y74" s="461">
        <f t="shared" si="22"/>
        <v>11.3</v>
      </c>
      <c r="Z74" s="469">
        <v>2093</v>
      </c>
      <c r="AA74" s="470">
        <v>4068</v>
      </c>
      <c r="AB74" s="461">
        <f>IF(Z74=0, "    ---- ", IF(ABS(ROUND(100/Z74*AA74-100,1))&lt;999,ROUND(100/Z74*AA74-100,1),IF(ROUND(100/Z74*AA74-100,1)&gt;999,999,-999)))</f>
        <v>94.4</v>
      </c>
      <c r="AC74" s="469"/>
      <c r="AD74" s="470"/>
      <c r="AE74" s="461"/>
      <c r="AF74" s="469">
        <v>127.86338564</v>
      </c>
      <c r="AG74" s="470"/>
      <c r="AH74" s="461">
        <f>IF(AF74=0, "    ---- ", IF(ABS(ROUND(100/AF74*AG74-100,1))&lt;999,ROUND(100/AF74*AG74-100,1),IF(ROUND(100/AF74*AG74-100,1)&gt;999,999,-999)))</f>
        <v>-100</v>
      </c>
      <c r="AI74" s="469">
        <v>538.12699999999995</v>
      </c>
      <c r="AJ74" s="470">
        <v>605.86400000000003</v>
      </c>
      <c r="AK74" s="461">
        <f t="shared" si="17"/>
        <v>12.6</v>
      </c>
      <c r="AL74" s="469">
        <v>5189.8999999999996</v>
      </c>
      <c r="AM74" s="470">
        <v>6721</v>
      </c>
      <c r="AN74" s="461">
        <f t="shared" si="24"/>
        <v>29.5</v>
      </c>
      <c r="AO74" s="459">
        <f t="shared" si="35"/>
        <v>35606.680905640002</v>
      </c>
      <c r="AP74" s="460">
        <f t="shared" si="35"/>
        <v>43790.614881000001</v>
      </c>
      <c r="AQ74" s="461">
        <f t="shared" si="19"/>
        <v>23</v>
      </c>
      <c r="AR74" s="459">
        <f t="shared" si="20"/>
        <v>35606.680905640002</v>
      </c>
      <c r="AS74" s="460">
        <f t="shared" si="20"/>
        <v>43790.614881000001</v>
      </c>
      <c r="AT74" s="582">
        <f t="shared" si="21"/>
        <v>23</v>
      </c>
      <c r="AU74" s="430"/>
      <c r="AV74" s="430"/>
      <c r="AW74" s="468"/>
    </row>
    <row r="75" spans="1:49" s="427" customFormat="1" ht="20.100000000000001" customHeight="1" x14ac:dyDescent="0.3">
      <c r="A75" s="458" t="s">
        <v>259</v>
      </c>
      <c r="B75" s="469">
        <v>32.707999999999998</v>
      </c>
      <c r="C75" s="470">
        <v>38.558</v>
      </c>
      <c r="D75" s="461">
        <f>IF(B75=0, "    ---- ", IF(ABS(ROUND(100/B75*C75-100,1))&lt;999,ROUND(100/B75*C75-100,1),IF(ROUND(100/B75*C75-100,1)&gt;999,999,-999)))</f>
        <v>17.899999999999999</v>
      </c>
      <c r="E75" s="469">
        <v>2657.4</v>
      </c>
      <c r="F75" s="470">
        <v>2655.4110000000001</v>
      </c>
      <c r="G75" s="461">
        <f t="shared" si="16"/>
        <v>-0.1</v>
      </c>
      <c r="H75" s="469"/>
      <c r="I75" s="470"/>
      <c r="J75" s="461"/>
      <c r="K75" s="469">
        <v>16.189</v>
      </c>
      <c r="L75" s="470">
        <v>54.460999999999999</v>
      </c>
      <c r="M75" s="459">
        <f>IF(K75=0, "    ---- ", IF(ABS(ROUND(100/K75*L75-100,1))&lt;999,ROUND(100/K75*L75-100,1),IF(ROUND(100/K75*L75-100,1)&gt;999,999,-999)))</f>
        <v>236.4</v>
      </c>
      <c r="N75" s="469"/>
      <c r="O75" s="470"/>
      <c r="P75" s="461"/>
      <c r="Q75" s="469">
        <v>26001.129846</v>
      </c>
      <c r="R75" s="470">
        <v>36078.932245999997</v>
      </c>
      <c r="S75" s="461">
        <f t="shared" si="33"/>
        <v>38.799999999999997</v>
      </c>
      <c r="T75" s="469">
        <v>75.099999999999994</v>
      </c>
      <c r="U75" s="470">
        <v>75.7</v>
      </c>
      <c r="V75" s="461">
        <f>IF(T75=0, "    ---- ", IF(ABS(ROUND(100/T75*U75-100,1))&lt;999,ROUND(100/T75*U75-100,1),IF(ROUND(100/T75*U75-100,1)&gt;999,999,-999)))</f>
        <v>0.8</v>
      </c>
      <c r="W75" s="469">
        <v>1053.6600000000001</v>
      </c>
      <c r="X75" s="470">
        <v>1289.02</v>
      </c>
      <c r="Y75" s="461">
        <f t="shared" si="22"/>
        <v>22.3</v>
      </c>
      <c r="Z75" s="469">
        <v>9576</v>
      </c>
      <c r="AA75" s="470">
        <v>10251</v>
      </c>
      <c r="AB75" s="461">
        <f>IF(Z75=0, "    ---- ", IF(ABS(ROUND(100/Z75*AA75-100,1))&lt;999,ROUND(100/Z75*AA75-100,1),IF(ROUND(100/Z75*AA75-100,1)&gt;999,999,-999)))</f>
        <v>7</v>
      </c>
      <c r="AC75" s="469"/>
      <c r="AD75" s="470"/>
      <c r="AE75" s="461"/>
      <c r="AF75" s="469">
        <v>269.48528476000001</v>
      </c>
      <c r="AG75" s="470"/>
      <c r="AH75" s="461">
        <f>IF(AF75=0, "    ---- ", IF(ABS(ROUND(100/AF75*AG75-100,1))&lt;999,ROUND(100/AF75*AG75-100,1),IF(ROUND(100/AF75*AG75-100,1)&gt;999,999,-999)))</f>
        <v>-100</v>
      </c>
      <c r="AI75" s="469">
        <v>1810.5060000000001</v>
      </c>
      <c r="AJ75" s="470">
        <v>2146.163</v>
      </c>
      <c r="AK75" s="461">
        <f t="shared" si="17"/>
        <v>18.5</v>
      </c>
      <c r="AL75" s="469">
        <v>4219.6000000000004</v>
      </c>
      <c r="AM75" s="470">
        <v>2104</v>
      </c>
      <c r="AN75" s="461">
        <f t="shared" si="24"/>
        <v>-50.1</v>
      </c>
      <c r="AO75" s="459">
        <f t="shared" si="35"/>
        <v>45711.778130759994</v>
      </c>
      <c r="AP75" s="460">
        <f t="shared" si="35"/>
        <v>54693.245245999991</v>
      </c>
      <c r="AQ75" s="461">
        <f t="shared" si="19"/>
        <v>19.600000000000001</v>
      </c>
      <c r="AR75" s="459">
        <f t="shared" si="20"/>
        <v>45711.778130759994</v>
      </c>
      <c r="AS75" s="460">
        <f t="shared" si="20"/>
        <v>54693.245245999991</v>
      </c>
      <c r="AT75" s="582">
        <f t="shared" si="21"/>
        <v>19.600000000000001</v>
      </c>
      <c r="AU75" s="430"/>
      <c r="AV75" s="430"/>
      <c r="AW75" s="468"/>
    </row>
    <row r="76" spans="1:49" s="427" customFormat="1" ht="20.100000000000001" customHeight="1" x14ac:dyDescent="0.3">
      <c r="A76" s="458" t="s">
        <v>392</v>
      </c>
      <c r="B76" s="469">
        <v>16.431000000000001</v>
      </c>
      <c r="C76" s="470">
        <v>16.762</v>
      </c>
      <c r="D76" s="461">
        <f>IF(B76=0, "    ---- ", IF(ABS(ROUND(100/B76*C76-100,1))&lt;999,ROUND(100/B76*C76-100,1),IF(ROUND(100/B76*C76-100,1)&gt;999,999,-999)))</f>
        <v>2</v>
      </c>
      <c r="E76" s="469">
        <v>1336.5</v>
      </c>
      <c r="F76" s="470">
        <v>955.83</v>
      </c>
      <c r="G76" s="461">
        <f t="shared" si="16"/>
        <v>-28.5</v>
      </c>
      <c r="H76" s="469"/>
      <c r="I76" s="470"/>
      <c r="J76" s="461"/>
      <c r="K76" s="469">
        <v>0.56799999999999995</v>
      </c>
      <c r="L76" s="470">
        <v>0.996</v>
      </c>
      <c r="M76" s="459">
        <f>IF(K76=0, "    ---- ", IF(ABS(ROUND(100/K76*L76-100,1))&lt;999,ROUND(100/K76*L76-100,1),IF(ROUND(100/K76*L76-100,1)&gt;999,999,-999)))</f>
        <v>75.400000000000006</v>
      </c>
      <c r="N76" s="469"/>
      <c r="O76" s="470"/>
      <c r="P76" s="461"/>
      <c r="Q76" s="469">
        <v>13430.558041</v>
      </c>
      <c r="R76" s="470">
        <v>12154.586095000001</v>
      </c>
      <c r="S76" s="461">
        <f t="shared" si="33"/>
        <v>-9.5</v>
      </c>
      <c r="T76" s="469">
        <v>13.8</v>
      </c>
      <c r="U76" s="470">
        <v>14.3</v>
      </c>
      <c r="V76" s="461">
        <f>IF(T76=0, "    ---- ", IF(ABS(ROUND(100/T76*U76-100,1))&lt;999,ROUND(100/T76*U76-100,1),IF(ROUND(100/T76*U76-100,1)&gt;999,999,-999)))</f>
        <v>3.6</v>
      </c>
      <c r="W76" s="469">
        <v>659.6099999999999</v>
      </c>
      <c r="X76" s="470">
        <v>679.65</v>
      </c>
      <c r="Y76" s="461">
        <f t="shared" si="22"/>
        <v>3</v>
      </c>
      <c r="Z76" s="469">
        <v>2096</v>
      </c>
      <c r="AA76" s="470">
        <v>2038</v>
      </c>
      <c r="AB76" s="461">
        <f t="shared" ref="AB76:AB78" si="36">IF(Z76=0, "    ---- ", IF(ABS(ROUND(100/Z76*AA76-100,1))&lt;999,ROUND(100/Z76*AA76-100,1),IF(ROUND(100/Z76*AA76-100,1)&gt;999,999,-999)))</f>
        <v>-2.8</v>
      </c>
      <c r="AC76" s="469"/>
      <c r="AD76" s="470"/>
      <c r="AE76" s="461"/>
      <c r="AF76" s="469"/>
      <c r="AG76" s="470"/>
      <c r="AH76" s="461"/>
      <c r="AI76" s="469">
        <v>317.05900000000003</v>
      </c>
      <c r="AJ76" s="470">
        <v>318.048</v>
      </c>
      <c r="AK76" s="461">
        <f t="shared" si="17"/>
        <v>0.3</v>
      </c>
      <c r="AL76" s="469">
        <v>2409.6999999999998</v>
      </c>
      <c r="AM76" s="470">
        <v>2274</v>
      </c>
      <c r="AN76" s="461">
        <f t="shared" si="24"/>
        <v>-5.6</v>
      </c>
      <c r="AO76" s="459">
        <f t="shared" si="35"/>
        <v>20280.226041000002</v>
      </c>
      <c r="AP76" s="460">
        <f t="shared" si="35"/>
        <v>18452.172095000002</v>
      </c>
      <c r="AQ76" s="461">
        <f t="shared" si="19"/>
        <v>-9</v>
      </c>
      <c r="AR76" s="459">
        <f t="shared" si="20"/>
        <v>20280.226041000002</v>
      </c>
      <c r="AS76" s="460">
        <f t="shared" si="20"/>
        <v>18452.172095000002</v>
      </c>
      <c r="AT76" s="582">
        <f t="shared" si="21"/>
        <v>-9</v>
      </c>
      <c r="AU76" s="430"/>
      <c r="AV76" s="430"/>
      <c r="AW76" s="468"/>
    </row>
    <row r="77" spans="1:49" s="427" customFormat="1" ht="20.100000000000001" customHeight="1" x14ac:dyDescent="0.3">
      <c r="A77" s="458" t="s">
        <v>393</v>
      </c>
      <c r="B77" s="469">
        <v>45.344999999999999</v>
      </c>
      <c r="C77" s="470">
        <v>50.682000000000002</v>
      </c>
      <c r="D77" s="461">
        <f>IF(B77=0, "    ---- ", IF(ABS(ROUND(100/B77*C77-100,1))&lt;999,ROUND(100/B77*C77-100,1),IF(ROUND(100/B77*C77-100,1)&gt;999,999,-999)))</f>
        <v>11.8</v>
      </c>
      <c r="E77" s="469">
        <v>152.5</v>
      </c>
      <c r="F77" s="470">
        <v>133.953</v>
      </c>
      <c r="G77" s="461">
        <f t="shared" si="16"/>
        <v>-12.2</v>
      </c>
      <c r="H77" s="469">
        <v>19.36</v>
      </c>
      <c r="I77" s="470">
        <v>22.652000000000001</v>
      </c>
      <c r="J77" s="461">
        <f>IF(H77=0, "    ---- ", IF(ABS(ROUND(100/H77*I77-100,1))&lt;999,ROUND(100/H77*I77-100,1),IF(ROUND(100/H77*I77-100,1)&gt;999,999,-999)))</f>
        <v>17</v>
      </c>
      <c r="K77" s="469"/>
      <c r="L77" s="470"/>
      <c r="M77" s="459"/>
      <c r="N77" s="469"/>
      <c r="O77" s="470"/>
      <c r="P77" s="461"/>
      <c r="Q77" s="469"/>
      <c r="R77" s="470"/>
      <c r="S77" s="461"/>
      <c r="T77" s="469"/>
      <c r="U77" s="470"/>
      <c r="V77" s="461"/>
      <c r="W77" s="469"/>
      <c r="X77" s="470"/>
      <c r="Y77" s="461"/>
      <c r="Z77" s="469">
        <v>435</v>
      </c>
      <c r="AA77" s="470">
        <v>458</v>
      </c>
      <c r="AB77" s="461">
        <f t="shared" si="36"/>
        <v>5.3</v>
      </c>
      <c r="AC77" s="469"/>
      <c r="AD77" s="470"/>
      <c r="AE77" s="461"/>
      <c r="AF77" s="469"/>
      <c r="AG77" s="470"/>
      <c r="AH77" s="461"/>
      <c r="AI77" s="469"/>
      <c r="AJ77" s="470"/>
      <c r="AK77" s="461"/>
      <c r="AL77" s="469">
        <v>709</v>
      </c>
      <c r="AM77" s="470">
        <v>665</v>
      </c>
      <c r="AN77" s="461">
        <f t="shared" si="24"/>
        <v>-6.2</v>
      </c>
      <c r="AO77" s="459">
        <f t="shared" si="35"/>
        <v>1361.2049999999999</v>
      </c>
      <c r="AP77" s="460">
        <f t="shared" si="35"/>
        <v>1330.287</v>
      </c>
      <c r="AQ77" s="461">
        <f t="shared" si="19"/>
        <v>-2.2999999999999998</v>
      </c>
      <c r="AR77" s="459">
        <f t="shared" si="20"/>
        <v>1361.2049999999999</v>
      </c>
      <c r="AS77" s="460">
        <f t="shared" si="20"/>
        <v>1330.287</v>
      </c>
      <c r="AT77" s="582">
        <f t="shared" si="21"/>
        <v>-2.2999999999999998</v>
      </c>
      <c r="AU77" s="430"/>
      <c r="AV77" s="430"/>
      <c r="AW77" s="468"/>
    </row>
    <row r="78" spans="1:49" s="427" customFormat="1" ht="20.100000000000001" customHeight="1" x14ac:dyDescent="0.3">
      <c r="A78" s="458" t="s">
        <v>260</v>
      </c>
      <c r="B78" s="469"/>
      <c r="C78" s="470"/>
      <c r="D78" s="461"/>
      <c r="E78" s="469"/>
      <c r="F78" s="470"/>
      <c r="G78" s="461"/>
      <c r="H78" s="469"/>
      <c r="I78" s="470"/>
      <c r="J78" s="461"/>
      <c r="K78" s="469">
        <v>41.292000000000002</v>
      </c>
      <c r="L78" s="470">
        <v>25.454000000000001</v>
      </c>
      <c r="M78" s="575">
        <f t="shared" ref="M78" si="37">IF(K78=0, "    ---- ", IF(ABS(ROUND(100/K78*L78-100,1))&lt;999,ROUND(100/K78*L78-100,1),IF(ROUND(100/K78*L78-100,1)&gt;999,999,-999)))</f>
        <v>-38.4</v>
      </c>
      <c r="N78" s="469"/>
      <c r="O78" s="470"/>
      <c r="P78" s="461"/>
      <c r="Q78" s="469">
        <v>6827.0082380000003</v>
      </c>
      <c r="R78" s="470">
        <v>5510.1801729999997</v>
      </c>
      <c r="S78" s="459">
        <f>IF(Q78=0, "    ---- ", IF(ABS(ROUND(100/Q78*R78-100,1))&lt;999,ROUND(100/Q78*R78-100,1),IF(ROUND(100/Q78*R78-100,1)&gt;999,999,-999)))</f>
        <v>-19.3</v>
      </c>
      <c r="T78" s="469">
        <v>16.2</v>
      </c>
      <c r="U78" s="470">
        <v>17.8</v>
      </c>
      <c r="V78" s="465">
        <f t="shared" ref="V78" si="38">IF(T78=0, "    ---- ", IF(ABS(ROUND(100/T78*U78-100,1))&lt;999,ROUND(100/T78*U78-100,1),IF(ROUND(100/T78*U78-100,1)&gt;999,999,-999)))</f>
        <v>9.9</v>
      </c>
      <c r="W78" s="469"/>
      <c r="X78" s="470"/>
      <c r="Y78" s="461"/>
      <c r="Z78" s="469">
        <v>1349</v>
      </c>
      <c r="AA78" s="470">
        <v>2954</v>
      </c>
      <c r="AB78" s="461">
        <f t="shared" si="36"/>
        <v>119</v>
      </c>
      <c r="AC78" s="469"/>
      <c r="AD78" s="470"/>
      <c r="AE78" s="461"/>
      <c r="AF78" s="469"/>
      <c r="AG78" s="470"/>
      <c r="AH78" s="461"/>
      <c r="AI78" s="469">
        <v>180.16422600000018</v>
      </c>
      <c r="AJ78" s="470">
        <v>222.72299100000018</v>
      </c>
      <c r="AK78" s="461">
        <f t="shared" si="17"/>
        <v>23.6</v>
      </c>
      <c r="AL78" s="469">
        <v>3545.9</v>
      </c>
      <c r="AM78" s="470">
        <v>3309</v>
      </c>
      <c r="AN78" s="461"/>
      <c r="AO78" s="459">
        <f t="shared" si="35"/>
        <v>11959.564464000001</v>
      </c>
      <c r="AP78" s="460">
        <f t="shared" si="35"/>
        <v>12039.157164</v>
      </c>
      <c r="AQ78" s="461">
        <f t="shared" si="19"/>
        <v>0.7</v>
      </c>
      <c r="AR78" s="459">
        <f t="shared" si="20"/>
        <v>11959.564464000001</v>
      </c>
      <c r="AS78" s="460">
        <f t="shared" si="20"/>
        <v>12039.157164</v>
      </c>
      <c r="AT78" s="582">
        <f t="shared" si="21"/>
        <v>0.7</v>
      </c>
      <c r="AU78" s="430"/>
      <c r="AV78" s="430"/>
      <c r="AW78" s="468"/>
    </row>
    <row r="79" spans="1:49" s="427" customFormat="1" ht="20.100000000000001" customHeight="1" x14ac:dyDescent="0.3">
      <c r="A79" s="525" t="s">
        <v>261</v>
      </c>
      <c r="B79" s="459">
        <v>921.55400000000009</v>
      </c>
      <c r="C79" s="470">
        <f>SUM(C73:C78)</f>
        <v>1007.1469999999999</v>
      </c>
      <c r="D79" s="461">
        <f>IF(B79=0, "    ---- ", IF(ABS(ROUND(100/B79*C79-100,1))&lt;999,ROUND(100/B79*C79-100,1),IF(ROUND(100/B79*C79-100,1)&gt;999,999,-999)))</f>
        <v>9.3000000000000007</v>
      </c>
      <c r="E79" s="470">
        <v>210426.1</v>
      </c>
      <c r="F79" s="470">
        <f>SUM(F73:F78)</f>
        <v>208843.976</v>
      </c>
      <c r="G79" s="461">
        <f t="shared" si="16"/>
        <v>-0.8</v>
      </c>
      <c r="H79" s="470">
        <v>815.58600000000001</v>
      </c>
      <c r="I79" s="470">
        <f>SUM(I73:I78)</f>
        <v>964.84800000000007</v>
      </c>
      <c r="J79" s="461">
        <f>IF(H79=0, "    ---- ", IF(ABS(ROUND(100/H79*I79-100,1))&lt;999,ROUND(100/H79*I79-100,1),IF(ROUND(100/H79*I79-100,1)&gt;999,999,-999)))</f>
        <v>18.3</v>
      </c>
      <c r="K79" s="470">
        <v>5259.8770000000004</v>
      </c>
      <c r="L79" s="470">
        <f>SUM(L73:L78)</f>
        <v>5875.2720000000008</v>
      </c>
      <c r="M79" s="459">
        <f>IF(K79=0, "    ---- ", IF(ABS(ROUND(100/K79*L79-100,1))&lt;999,ROUND(100/K79*L79-100,1),IF(ROUND(100/K79*L79-100,1)&gt;999,999,-999)))</f>
        <v>11.7</v>
      </c>
      <c r="N79" s="469">
        <v>77</v>
      </c>
      <c r="O79" s="470">
        <f>SUM(O73:O78)</f>
        <v>62</v>
      </c>
      <c r="P79" s="461">
        <f>IF(N79=0, "    ---- ", IF(ABS(ROUND(100/N79*O79-100,1))&lt;999,ROUND(100/N79*O79-100,1),IF(ROUND(100/N79*O79-100,1)&gt;999,999,-999)))</f>
        <v>-19.5</v>
      </c>
      <c r="Q79" s="469">
        <v>442588.40545253991</v>
      </c>
      <c r="R79" s="470">
        <f>SUM(R73:R78)</f>
        <v>475133.26205808995</v>
      </c>
      <c r="S79" s="461">
        <f t="shared" si="33"/>
        <v>7.4</v>
      </c>
      <c r="T79" s="469">
        <v>1540.1999999999998</v>
      </c>
      <c r="U79" s="470">
        <f>SUM(U73:U78)</f>
        <v>1615.3999999999999</v>
      </c>
      <c r="V79" s="461">
        <f>IF(T79=0, "    ---- ", IF(ABS(ROUND(100/T79*U79-100,1))&lt;999,ROUND(100/T79*U79-100,1),IF(ROUND(100/T79*U79-100,1)&gt;999,999,-999)))</f>
        <v>4.9000000000000004</v>
      </c>
      <c r="W79" s="470">
        <v>48325.80000000001</v>
      </c>
      <c r="X79" s="470">
        <f>SUM(X73:X78)</f>
        <v>49518.955082999993</v>
      </c>
      <c r="Y79" s="461">
        <f t="shared" si="22"/>
        <v>2.5</v>
      </c>
      <c r="Z79" s="470">
        <v>73299</v>
      </c>
      <c r="AA79" s="470">
        <f>SUM(AA73:AA78)</f>
        <v>79497</v>
      </c>
      <c r="AB79" s="461">
        <f>IF(Z79=0, "    ---- ", IF(ABS(ROUND(100/Z79*AA79-100,1))&lt;999,ROUND(100/Z79*AA79-100,1),IF(ROUND(100/Z79*AA79-100,1)&gt;999,999,-999)))</f>
        <v>8.5</v>
      </c>
      <c r="AC79" s="469"/>
      <c r="AD79" s="470"/>
      <c r="AE79" s="461"/>
      <c r="AF79" s="470">
        <v>8663.6915365299992</v>
      </c>
      <c r="AG79" s="470">
        <f>SUM(AG73:AG78)</f>
        <v>0</v>
      </c>
      <c r="AH79" s="461">
        <f>IF(AF79=0, "    ---- ", IF(ABS(ROUND(100/AF79*AG79-100,1))&lt;999,ROUND(100/AF79*AG79-100,1),IF(ROUND(100/AF79*AG79-100,1)&gt;999,999,-999)))</f>
        <v>-100</v>
      </c>
      <c r="AI79" s="470">
        <v>20644.705226000002</v>
      </c>
      <c r="AJ79" s="470">
        <f>SUM(AJ73:AJ78)</f>
        <v>22335.548991</v>
      </c>
      <c r="AK79" s="461">
        <f t="shared" si="17"/>
        <v>8.1999999999999993</v>
      </c>
      <c r="AL79" s="470">
        <v>182889.1</v>
      </c>
      <c r="AM79" s="470">
        <f>SUM(AM73:AM78)</f>
        <v>184699</v>
      </c>
      <c r="AN79" s="461">
        <f t="shared" si="24"/>
        <v>1</v>
      </c>
      <c r="AO79" s="459">
        <f t="shared" si="35"/>
        <v>995374.01921507006</v>
      </c>
      <c r="AP79" s="460">
        <f t="shared" si="35"/>
        <v>1029490.40913209</v>
      </c>
      <c r="AQ79" s="461">
        <f t="shared" si="19"/>
        <v>3.4</v>
      </c>
      <c r="AR79" s="459">
        <f t="shared" si="20"/>
        <v>995451.01921507006</v>
      </c>
      <c r="AS79" s="460">
        <f t="shared" si="20"/>
        <v>1029552.40913209</v>
      </c>
      <c r="AT79" s="582">
        <f t="shared" si="21"/>
        <v>3.4</v>
      </c>
      <c r="AU79" s="430"/>
      <c r="AV79" s="468"/>
      <c r="AW79" s="468"/>
    </row>
    <row r="80" spans="1:49" s="427" customFormat="1" ht="20.100000000000001" customHeight="1" x14ac:dyDescent="0.3">
      <c r="A80" s="458" t="s">
        <v>262</v>
      </c>
      <c r="B80" s="469"/>
      <c r="C80" s="470"/>
      <c r="D80" s="461"/>
      <c r="E80" s="469"/>
      <c r="F80" s="470"/>
      <c r="G80" s="461"/>
      <c r="H80" s="469"/>
      <c r="I80" s="470"/>
      <c r="J80" s="461"/>
      <c r="K80" s="469"/>
      <c r="L80" s="470"/>
      <c r="M80" s="459"/>
      <c r="N80" s="469"/>
      <c r="O80" s="470"/>
      <c r="P80" s="461"/>
      <c r="Q80" s="469"/>
      <c r="R80" s="470"/>
      <c r="S80" s="461"/>
      <c r="T80" s="469"/>
      <c r="U80" s="470"/>
      <c r="V80" s="461"/>
      <c r="W80" s="469"/>
      <c r="X80" s="470"/>
      <c r="Y80" s="461"/>
      <c r="Z80" s="469"/>
      <c r="AA80" s="470"/>
      <c r="AB80" s="461"/>
      <c r="AC80" s="469"/>
      <c r="AD80" s="470"/>
      <c r="AE80" s="461"/>
      <c r="AF80" s="469"/>
      <c r="AG80" s="470"/>
      <c r="AH80" s="461"/>
      <c r="AI80" s="469"/>
      <c r="AJ80" s="470"/>
      <c r="AK80" s="461"/>
      <c r="AL80" s="469"/>
      <c r="AM80" s="470"/>
      <c r="AN80" s="461"/>
      <c r="AO80" s="459"/>
      <c r="AP80" s="460"/>
      <c r="AQ80" s="461"/>
      <c r="AR80" s="459"/>
      <c r="AS80" s="460"/>
      <c r="AT80" s="582"/>
      <c r="AU80" s="430"/>
      <c r="AV80" s="430"/>
      <c r="AW80" s="468"/>
    </row>
    <row r="81" spans="1:49" s="427" customFormat="1" ht="20.100000000000001" customHeight="1" x14ac:dyDescent="0.3">
      <c r="A81" s="458" t="s">
        <v>394</v>
      </c>
      <c r="B81" s="469">
        <v>13026.522999999999</v>
      </c>
      <c r="C81" s="470">
        <v>16006.959000000001</v>
      </c>
      <c r="D81" s="461">
        <f>IF(B81=0, "    ---- ", IF(ABS(ROUND(100/B81*C81-100,1))&lt;999,ROUND(100/B81*C81-100,1),IF(ROUND(100/B81*C81-100,1)&gt;999,999,-999)))</f>
        <v>22.9</v>
      </c>
      <c r="E81" s="469">
        <v>55775.4</v>
      </c>
      <c r="F81" s="470">
        <v>70011.058999999994</v>
      </c>
      <c r="G81" s="461">
        <f t="shared" si="16"/>
        <v>25.5</v>
      </c>
      <c r="H81" s="469">
        <v>2500.424</v>
      </c>
      <c r="I81" s="470">
        <v>3022.5279999999998</v>
      </c>
      <c r="J81" s="461">
        <f>IF(H81=0, "    ---- ", IF(ABS(ROUND(100/H81*I81-100,1))&lt;999,ROUND(100/H81*I81-100,1),IF(ROUND(100/H81*I81-100,1)&gt;999,999,-999)))</f>
        <v>20.9</v>
      </c>
      <c r="K81" s="469">
        <v>16548.028999999999</v>
      </c>
      <c r="L81" s="470">
        <v>21110.489000000001</v>
      </c>
      <c r="M81" s="459">
        <f>IF(K81=0, "    ---- ", IF(ABS(ROUND(100/K81*L81-100,1))&lt;999,ROUND(100/K81*L81-100,1),IF(ROUND(100/K81*L81-100,1)&gt;999,999,-999)))</f>
        <v>27.6</v>
      </c>
      <c r="N81" s="469"/>
      <c r="O81" s="470"/>
      <c r="P81" s="461"/>
      <c r="Q81" s="469">
        <v>1870.49874215</v>
      </c>
      <c r="R81" s="470">
        <v>1844.3940721500001</v>
      </c>
      <c r="S81" s="461">
        <f t="shared" ref="S81:S91" si="39">IF(Q81=0, "    ---- ", IF(ABS(ROUND(100/Q81*R81-100,1))&lt;999,ROUND(100/Q81*R81-100,1),IF(ROUND(100/Q81*R81-100,1)&gt;999,999,-999)))</f>
        <v>-1.4</v>
      </c>
      <c r="T81" s="469">
        <v>1479.2</v>
      </c>
      <c r="U81" s="470">
        <v>2423.3000000000002</v>
      </c>
      <c r="V81" s="461">
        <f>IF(T81=0, "    ---- ", IF(ABS(ROUND(100/T81*U81-100,1))&lt;999,ROUND(100/T81*U81-100,1),IF(ROUND(100/T81*U81-100,1)&gt;999,999,-999)))</f>
        <v>63.8</v>
      </c>
      <c r="W81" s="469">
        <v>44252.99</v>
      </c>
      <c r="X81" s="470">
        <v>54647.57</v>
      </c>
      <c r="Y81" s="461">
        <f t="shared" si="22"/>
        <v>23.5</v>
      </c>
      <c r="Z81" s="469"/>
      <c r="AA81" s="470"/>
      <c r="AB81" s="461"/>
      <c r="AC81" s="469">
        <v>1612</v>
      </c>
      <c r="AD81" s="470">
        <v>1949</v>
      </c>
      <c r="AE81" s="461">
        <f>IF(AC81=0, "    ---- ", IF(ABS(ROUND(100/AC81*AD81-100,1))&lt;999,ROUND(100/AC81*AD81-100,1),IF(ROUND(100/AC81*AD81-100,1)&gt;999,999,-999)))</f>
        <v>20.9</v>
      </c>
      <c r="AF81" s="469">
        <v>432.24826272000001</v>
      </c>
      <c r="AG81" s="470"/>
      <c r="AH81" s="461">
        <f>IF(AF81=0, "    ---- ", IF(ABS(ROUND(100/AF81*AG81-100,1))&lt;999,ROUND(100/AF81*AG81-100,1),IF(ROUND(100/AF81*AG81-100,1)&gt;999,999,-999)))</f>
        <v>-100</v>
      </c>
      <c r="AI81" s="469">
        <v>17534.748</v>
      </c>
      <c r="AJ81" s="470">
        <v>23023.813999999998</v>
      </c>
      <c r="AK81" s="461">
        <f t="shared" si="17"/>
        <v>31.3</v>
      </c>
      <c r="AL81" s="469">
        <v>61328.6</v>
      </c>
      <c r="AM81" s="470">
        <v>75409.5</v>
      </c>
      <c r="AN81" s="461">
        <f t="shared" si="24"/>
        <v>23</v>
      </c>
      <c r="AO81" s="459">
        <f t="shared" ref="AO81:AP89" si="40">B81+E81+H81+K81+Q81+T81+W81+Z81+AF81+AI81+AL81</f>
        <v>214748.66100486999</v>
      </c>
      <c r="AP81" s="460">
        <f t="shared" si="40"/>
        <v>267499.61307214998</v>
      </c>
      <c r="AQ81" s="461">
        <f t="shared" si="19"/>
        <v>24.6</v>
      </c>
      <c r="AR81" s="459">
        <f t="shared" si="20"/>
        <v>216360.66100486999</v>
      </c>
      <c r="AS81" s="460">
        <f t="shared" si="20"/>
        <v>269448.61307214998</v>
      </c>
      <c r="AT81" s="582">
        <f t="shared" si="21"/>
        <v>24.5</v>
      </c>
      <c r="AU81" s="430"/>
      <c r="AV81" s="430"/>
      <c r="AW81" s="468"/>
    </row>
    <row r="82" spans="1:49" s="427" customFormat="1" ht="20.100000000000001" customHeight="1" x14ac:dyDescent="0.3">
      <c r="A82" s="458" t="s">
        <v>395</v>
      </c>
      <c r="B82" s="469"/>
      <c r="C82" s="470"/>
      <c r="D82" s="461"/>
      <c r="E82" s="469"/>
      <c r="F82" s="470"/>
      <c r="G82" s="461"/>
      <c r="H82" s="469"/>
      <c r="I82" s="470"/>
      <c r="J82" s="461"/>
      <c r="K82" s="469"/>
      <c r="L82" s="470"/>
      <c r="M82" s="461"/>
      <c r="N82" s="469"/>
      <c r="O82" s="470"/>
      <c r="P82" s="461"/>
      <c r="Q82" s="469"/>
      <c r="R82" s="470">
        <v>134.53005400000001</v>
      </c>
      <c r="S82" s="459" t="str">
        <f>IF(Q82=0, "    ---- ", IF(ABS(ROUND(100/Q82*R82-100,1))&lt;999,ROUND(100/Q82*R82-100,1),IF(ROUND(100/Q82*R82-100,1)&gt;999,999,-999)))</f>
        <v xml:space="preserve">    ---- </v>
      </c>
      <c r="T82" s="469"/>
      <c r="U82" s="470"/>
      <c r="V82" s="461"/>
      <c r="W82" s="469"/>
      <c r="X82" s="470"/>
      <c r="Y82" s="461"/>
      <c r="Z82" s="469"/>
      <c r="AA82" s="470"/>
      <c r="AB82" s="461"/>
      <c r="AC82" s="469"/>
      <c r="AD82" s="470"/>
      <c r="AE82" s="461"/>
      <c r="AF82" s="469"/>
      <c r="AG82" s="470"/>
      <c r="AH82" s="461"/>
      <c r="AI82" s="469">
        <v>220.39500000000001</v>
      </c>
      <c r="AJ82" s="470">
        <v>0</v>
      </c>
      <c r="AK82" s="461">
        <f t="shared" si="17"/>
        <v>-100</v>
      </c>
      <c r="AL82" s="469"/>
      <c r="AM82" s="470"/>
      <c r="AN82" s="461"/>
      <c r="AO82" s="459">
        <f t="shared" si="40"/>
        <v>220.39500000000001</v>
      </c>
      <c r="AP82" s="460">
        <f t="shared" si="40"/>
        <v>134.53005400000001</v>
      </c>
      <c r="AQ82" s="461">
        <f t="shared" si="19"/>
        <v>-39</v>
      </c>
      <c r="AR82" s="459">
        <f t="shared" si="20"/>
        <v>220.39500000000001</v>
      </c>
      <c r="AS82" s="460">
        <f t="shared" si="20"/>
        <v>134.53005400000001</v>
      </c>
      <c r="AT82" s="582">
        <f t="shared" si="21"/>
        <v>-39</v>
      </c>
      <c r="AU82" s="430"/>
      <c r="AV82" s="430"/>
      <c r="AW82" s="468"/>
    </row>
    <row r="83" spans="1:49" s="427" customFormat="1" ht="20.100000000000001" customHeight="1" x14ac:dyDescent="0.3">
      <c r="A83" s="458" t="s">
        <v>396</v>
      </c>
      <c r="B83" s="461">
        <v>102.435</v>
      </c>
      <c r="C83" s="324">
        <v>80.338999999999999</v>
      </c>
      <c r="D83" s="461">
        <f>IF(B83=0, "    ---- ", IF(ABS(ROUND(100/B83*C83-100,1))&lt;999,ROUND(100/B83*C83-100,1),IF(ROUND(100/B83*C83-100,1)&gt;999,999,-999)))</f>
        <v>-21.6</v>
      </c>
      <c r="E83" s="461">
        <v>641.4</v>
      </c>
      <c r="F83" s="324">
        <v>678.70100000000002</v>
      </c>
      <c r="G83" s="461">
        <f t="shared" si="16"/>
        <v>5.8</v>
      </c>
      <c r="H83" s="461"/>
      <c r="I83" s="324"/>
      <c r="J83" s="461"/>
      <c r="K83" s="461">
        <v>308.69245999999998</v>
      </c>
      <c r="L83" s="324">
        <v>340.73200000000003</v>
      </c>
      <c r="M83" s="461">
        <f>IF(K83=0, "    ---- ", IF(ABS(ROUND(100/K83*L83-100,1))&lt;999,ROUND(100/K83*L83-100,1),IF(ROUND(100/K83*L83-100,1)&gt;999,999,-999)))</f>
        <v>10.4</v>
      </c>
      <c r="N83" s="461"/>
      <c r="O83" s="324"/>
      <c r="P83" s="461"/>
      <c r="Q83" s="461">
        <v>236.64923400000001</v>
      </c>
      <c r="R83" s="324">
        <v>280.59341599999999</v>
      </c>
      <c r="S83" s="461">
        <f t="shared" si="39"/>
        <v>18.600000000000001</v>
      </c>
      <c r="T83" s="461">
        <v>7.4</v>
      </c>
      <c r="U83" s="324">
        <v>9.1999999999999993</v>
      </c>
      <c r="V83" s="461">
        <f>IF(T83=0, "    ---- ", IF(ABS(ROUND(100/T83*U83-100,1))&lt;999,ROUND(100/T83*U83-100,1),IF(ROUND(100/T83*U83-100,1)&gt;999,999,-999)))</f>
        <v>24.3</v>
      </c>
      <c r="W83" s="461"/>
      <c r="X83" s="324"/>
      <c r="Y83" s="461"/>
      <c r="Z83" s="461"/>
      <c r="AA83" s="324"/>
      <c r="AB83" s="461"/>
      <c r="AC83" s="461"/>
      <c r="AD83" s="324"/>
      <c r="AE83" s="461"/>
      <c r="AF83" s="461"/>
      <c r="AG83" s="324"/>
      <c r="AH83" s="461"/>
      <c r="AI83" s="461">
        <v>403.76299999999998</v>
      </c>
      <c r="AJ83" s="324">
        <v>481.18599999999998</v>
      </c>
      <c r="AK83" s="461">
        <f t="shared" si="17"/>
        <v>19.2</v>
      </c>
      <c r="AL83" s="461"/>
      <c r="AM83" s="324"/>
      <c r="AN83" s="461"/>
      <c r="AO83" s="459">
        <f t="shared" si="40"/>
        <v>1700.339694</v>
      </c>
      <c r="AP83" s="460">
        <f t="shared" si="40"/>
        <v>1870.7514159999998</v>
      </c>
      <c r="AQ83" s="461">
        <f t="shared" si="19"/>
        <v>10</v>
      </c>
      <c r="AR83" s="459">
        <f t="shared" si="20"/>
        <v>1700.339694</v>
      </c>
      <c r="AS83" s="460">
        <f t="shared" si="20"/>
        <v>1870.7514159999998</v>
      </c>
      <c r="AT83" s="582">
        <f t="shared" si="21"/>
        <v>10</v>
      </c>
      <c r="AU83" s="430"/>
      <c r="AV83" s="430"/>
      <c r="AW83" s="468"/>
    </row>
    <row r="84" spans="1:49" s="427" customFormat="1" ht="20.100000000000001" customHeight="1" x14ac:dyDescent="0.3">
      <c r="A84" s="458" t="s">
        <v>260</v>
      </c>
      <c r="B84" s="469"/>
      <c r="C84" s="470"/>
      <c r="D84" s="469"/>
      <c r="E84" s="469"/>
      <c r="F84" s="470"/>
      <c r="G84" s="469"/>
      <c r="H84" s="469"/>
      <c r="I84" s="470"/>
      <c r="J84" s="469"/>
      <c r="K84" s="469"/>
      <c r="L84" s="470"/>
      <c r="M84" s="459"/>
      <c r="N84" s="469"/>
      <c r="O84" s="470"/>
      <c r="P84" s="461"/>
      <c r="Q84" s="469">
        <v>53.120044</v>
      </c>
      <c r="R84" s="470">
        <v>70.681374000000005</v>
      </c>
      <c r="S84" s="459">
        <f>IF(Q84=0, "    ---- ", IF(ABS(ROUND(100/Q84*R84-100,1))&lt;999,ROUND(100/Q84*R84-100,1),IF(ROUND(100/Q84*R84-100,1)&gt;999,999,-999)))</f>
        <v>33.1</v>
      </c>
      <c r="T84" s="469"/>
      <c r="U84" s="470"/>
      <c r="V84" s="461"/>
      <c r="W84" s="469"/>
      <c r="X84" s="470"/>
      <c r="Y84" s="461"/>
      <c r="Z84" s="469"/>
      <c r="AA84" s="470"/>
      <c r="AB84" s="461"/>
      <c r="AC84" s="469"/>
      <c r="AD84" s="470"/>
      <c r="AE84" s="469"/>
      <c r="AF84" s="469"/>
      <c r="AG84" s="470"/>
      <c r="AH84" s="469"/>
      <c r="AI84" s="469"/>
      <c r="AJ84" s="470"/>
      <c r="AK84" s="461"/>
      <c r="AL84" s="469"/>
      <c r="AM84" s="470">
        <v>-3.5</v>
      </c>
      <c r="AN84" s="461" t="str">
        <f t="shared" si="24"/>
        <v xml:space="preserve">    ---- </v>
      </c>
      <c r="AO84" s="459">
        <f t="shared" si="40"/>
        <v>53.120044</v>
      </c>
      <c r="AP84" s="460">
        <f t="shared" si="40"/>
        <v>67.181374000000005</v>
      </c>
      <c r="AQ84" s="461">
        <f t="shared" si="19"/>
        <v>26.5</v>
      </c>
      <c r="AR84" s="459">
        <f t="shared" si="20"/>
        <v>53.120044</v>
      </c>
      <c r="AS84" s="460">
        <f t="shared" si="20"/>
        <v>67.181374000000005</v>
      </c>
      <c r="AT84" s="582">
        <f t="shared" si="21"/>
        <v>26.5</v>
      </c>
      <c r="AU84" s="430"/>
      <c r="AV84" s="430"/>
      <c r="AW84" s="468"/>
    </row>
    <row r="85" spans="1:49" s="427" customFormat="1" ht="20.100000000000001" customHeight="1" x14ac:dyDescent="0.3">
      <c r="A85" s="525" t="s">
        <v>263</v>
      </c>
      <c r="B85" s="459">
        <v>13128.957999999999</v>
      </c>
      <c r="C85" s="470">
        <f>SUM(C81:C84)</f>
        <v>16087.298000000001</v>
      </c>
      <c r="D85" s="469">
        <f>IF(B85=0, "    ---- ", IF(ABS(ROUND(100/B85*C85-100,1))&lt;999,ROUND(100/B85*C85-100,1),IF(ROUND(100/B85*C85-100,1)&gt;999,999,-999)))</f>
        <v>22.5</v>
      </c>
      <c r="E85" s="470">
        <v>56416.800000000003</v>
      </c>
      <c r="F85" s="470">
        <f>SUM(F81:F84)</f>
        <v>70689.759999999995</v>
      </c>
      <c r="G85" s="469">
        <f t="shared" si="16"/>
        <v>25.3</v>
      </c>
      <c r="H85" s="469">
        <v>2500.424</v>
      </c>
      <c r="I85" s="470">
        <f>SUM(I81:I84)</f>
        <v>3022.5279999999998</v>
      </c>
      <c r="J85" s="469">
        <f>IF(H85=0, "    ---- ", IF(ABS(ROUND(100/H85*I85-100,1))&lt;999,ROUND(100/H85*I85-100,1),IF(ROUND(100/H85*I85-100,1)&gt;999,999,-999)))</f>
        <v>20.9</v>
      </c>
      <c r="K85" s="469">
        <v>16856.721459999997</v>
      </c>
      <c r="L85" s="470">
        <f>SUM(L81:L84)</f>
        <v>21451.221000000001</v>
      </c>
      <c r="M85" s="459">
        <f>IF(K85=0, "    ---- ", IF(ABS(ROUND(100/K85*L85-100,1))&lt;999,ROUND(100/K85*L85-100,1),IF(ROUND(100/K85*L85-100,1)&gt;999,999,-999)))</f>
        <v>27.3</v>
      </c>
      <c r="N85" s="469"/>
      <c r="O85" s="470"/>
      <c r="P85" s="461"/>
      <c r="Q85" s="469">
        <v>2160.40479615</v>
      </c>
      <c r="R85" s="470">
        <f>SUM(R81:R84)</f>
        <v>2330.1989161500005</v>
      </c>
      <c r="S85" s="461">
        <f t="shared" si="39"/>
        <v>7.9</v>
      </c>
      <c r="T85" s="469">
        <v>1486.6000000000001</v>
      </c>
      <c r="U85" s="470">
        <f>SUM(U81:U84)</f>
        <v>2432.5</v>
      </c>
      <c r="V85" s="461">
        <f>IF(T85=0, "    ---- ", IF(ABS(ROUND(100/T85*U85-100,1))&lt;999,ROUND(100/T85*U85-100,1),IF(ROUND(100/T85*U85-100,1)&gt;999,999,-999)))</f>
        <v>63.6</v>
      </c>
      <c r="W85" s="470">
        <v>44252.99</v>
      </c>
      <c r="X85" s="470">
        <f>SUM(X81:X84)</f>
        <v>54647.57</v>
      </c>
      <c r="Y85" s="461">
        <f t="shared" si="22"/>
        <v>23.5</v>
      </c>
      <c r="Z85" s="469"/>
      <c r="AA85" s="470"/>
      <c r="AB85" s="461"/>
      <c r="AC85" s="469">
        <v>1612</v>
      </c>
      <c r="AD85" s="470">
        <f>SUM(AD81:AD84)</f>
        <v>1949</v>
      </c>
      <c r="AE85" s="469">
        <f>IF(AC85=0, "    ---- ", IF(ABS(ROUND(100/AC85*AD85-100,1))&lt;999,ROUND(100/AC85*AD85-100,1),IF(ROUND(100/AC85*AD85-100,1)&gt;999,999,-999)))</f>
        <v>20.9</v>
      </c>
      <c r="AF85" s="469">
        <v>432.24826272000001</v>
      </c>
      <c r="AG85" s="470">
        <f>SUM(AG81:AG84)</f>
        <v>0</v>
      </c>
      <c r="AH85" s="469">
        <f>IF(AF85=0, "    ---- ", IF(ABS(ROUND(100/AF85*AG85-100,1))&lt;999,ROUND(100/AF85*AG85-100,1),IF(ROUND(100/AF85*AG85-100,1)&gt;999,999,-999)))</f>
        <v>-100</v>
      </c>
      <c r="AI85" s="469">
        <v>18158.905999999999</v>
      </c>
      <c r="AJ85" s="470">
        <f>SUM(AJ81:AJ84)</f>
        <v>23505</v>
      </c>
      <c r="AK85" s="461">
        <f t="shared" si="17"/>
        <v>29.4</v>
      </c>
      <c r="AL85" s="469">
        <v>61328.6</v>
      </c>
      <c r="AM85" s="470">
        <f>SUM(AM81:AM84)</f>
        <v>75406</v>
      </c>
      <c r="AN85" s="461">
        <f t="shared" si="24"/>
        <v>23</v>
      </c>
      <c r="AO85" s="459">
        <f t="shared" si="40"/>
        <v>216722.65251887002</v>
      </c>
      <c r="AP85" s="460">
        <f t="shared" si="40"/>
        <v>269572.07591615</v>
      </c>
      <c r="AQ85" s="461">
        <f t="shared" si="19"/>
        <v>24.4</v>
      </c>
      <c r="AR85" s="459">
        <f t="shared" si="20"/>
        <v>218334.65251887002</v>
      </c>
      <c r="AS85" s="460">
        <f t="shared" si="20"/>
        <v>271521.07591615</v>
      </c>
      <c r="AT85" s="582">
        <f t="shared" si="21"/>
        <v>24.4</v>
      </c>
      <c r="AU85" s="430"/>
      <c r="AV85" s="468"/>
      <c r="AW85" s="468"/>
    </row>
    <row r="86" spans="1:49" s="427" customFormat="1" ht="20.100000000000001" customHeight="1" x14ac:dyDescent="0.3">
      <c r="A86" s="458" t="s">
        <v>264</v>
      </c>
      <c r="B86" s="469">
        <v>37.506</v>
      </c>
      <c r="C86" s="470">
        <v>29.890999999999998</v>
      </c>
      <c r="D86" s="461">
        <f>IF(B86=0, "    ---- ", IF(ABS(ROUND(100/B86*C86-100,1))&lt;999,ROUND(100/B86*C86-100,1),IF(ROUND(100/B86*C86-100,1)&gt;999,999,-999)))</f>
        <v>-20.3</v>
      </c>
      <c r="E86" s="469">
        <v>950.1</v>
      </c>
      <c r="F86" s="470">
        <v>892.51</v>
      </c>
      <c r="G86" s="461">
        <f t="shared" si="16"/>
        <v>-6.1</v>
      </c>
      <c r="H86" s="469"/>
      <c r="I86" s="470"/>
      <c r="J86" s="461"/>
      <c r="K86" s="469">
        <v>39.621000000000002</v>
      </c>
      <c r="L86" s="470">
        <v>21.893000000000001</v>
      </c>
      <c r="M86" s="461">
        <f>IF(K86=0, "    ---- ", IF(ABS(ROUND(100/K86*L86-100,1))&lt;999,ROUND(100/K86*L86-100,1),IF(ROUND(100/K86*L86-100,1)&gt;999,999,-999)))</f>
        <v>-44.7</v>
      </c>
      <c r="N86" s="469">
        <v>1</v>
      </c>
      <c r="O86" s="470">
        <v>2</v>
      </c>
      <c r="P86" s="461">
        <f>IF(N86=0, "    ---- ", IF(ABS(ROUND(100/N86*O86-100,1))&lt;999,ROUND(100/N86*O86-100,1),IF(ROUND(100/N86*O86-100,1)&gt;999,999,-999)))</f>
        <v>100</v>
      </c>
      <c r="Q86" s="469">
        <v>838.55803219000006</v>
      </c>
      <c r="R86" s="470">
        <v>577.48912584000004</v>
      </c>
      <c r="S86" s="461">
        <f t="shared" si="39"/>
        <v>-31.1</v>
      </c>
      <c r="T86" s="469">
        <v>7.1</v>
      </c>
      <c r="U86" s="470">
        <v>8.1</v>
      </c>
      <c r="V86" s="461">
        <f>IF(T86=0, "    ---- ", IF(ABS(ROUND(100/T86*U86-100,1))&lt;999,ROUND(100/T86*U86-100,1),IF(ROUND(100/T86*U86-100,1)&gt;999,999,-999)))</f>
        <v>14.1</v>
      </c>
      <c r="W86" s="469">
        <v>385.32</v>
      </c>
      <c r="X86" s="470">
        <v>461.23</v>
      </c>
      <c r="Y86" s="461">
        <f t="shared" si="22"/>
        <v>19.7</v>
      </c>
      <c r="Z86" s="469">
        <v>700</v>
      </c>
      <c r="AA86" s="470">
        <v>917</v>
      </c>
      <c r="AB86" s="461">
        <f>IF(Z86=0, "    ---- ", IF(ABS(ROUND(100/Z86*AA86-100,1))&lt;999,ROUND(100/Z86*AA86-100,1),IF(ROUND(100/Z86*AA86-100,1)&gt;999,999,-999)))</f>
        <v>31</v>
      </c>
      <c r="AC86" s="469"/>
      <c r="AD86" s="470"/>
      <c r="AE86" s="461"/>
      <c r="AF86" s="469">
        <v>16.83623438</v>
      </c>
      <c r="AG86" s="470"/>
      <c r="AH86" s="461">
        <f>IF(AF86=0, "    ---- ", IF(ABS(ROUND(100/AF86*AG86-100,1))&lt;999,ROUND(100/AF86*AG86-100,1),IF(ROUND(100/AF86*AG86-100,1)&gt;999,999,-999)))</f>
        <v>-100</v>
      </c>
      <c r="AI86" s="469">
        <v>819.19200000000001</v>
      </c>
      <c r="AJ86" s="470">
        <v>752.79700000000003</v>
      </c>
      <c r="AK86" s="461">
        <f t="shared" si="17"/>
        <v>-8.1</v>
      </c>
      <c r="AL86" s="469">
        <v>97</v>
      </c>
      <c r="AM86" s="470">
        <v>59</v>
      </c>
      <c r="AN86" s="461">
        <f t="shared" si="24"/>
        <v>-39.200000000000003</v>
      </c>
      <c r="AO86" s="459">
        <f t="shared" si="40"/>
        <v>3891.2332665700001</v>
      </c>
      <c r="AP86" s="460">
        <f t="shared" si="40"/>
        <v>3719.9101258400001</v>
      </c>
      <c r="AQ86" s="461">
        <f t="shared" si="19"/>
        <v>-4.4000000000000004</v>
      </c>
      <c r="AR86" s="459">
        <f t="shared" si="20"/>
        <v>3892.2332665700001</v>
      </c>
      <c r="AS86" s="460">
        <f t="shared" si="20"/>
        <v>3721.9101258400001</v>
      </c>
      <c r="AT86" s="582">
        <f t="shared" si="21"/>
        <v>-4.4000000000000004</v>
      </c>
      <c r="AU86" s="430"/>
      <c r="AV86" s="430"/>
      <c r="AW86" s="468"/>
    </row>
    <row r="87" spans="1:49" s="427" customFormat="1" ht="20.100000000000001" customHeight="1" x14ac:dyDescent="0.3">
      <c r="A87" s="458" t="s">
        <v>265</v>
      </c>
      <c r="B87" s="469"/>
      <c r="C87" s="470"/>
      <c r="D87" s="461"/>
      <c r="E87" s="469">
        <v>0</v>
      </c>
      <c r="F87" s="470">
        <v>0</v>
      </c>
      <c r="G87" s="461"/>
      <c r="H87" s="469"/>
      <c r="I87" s="470"/>
      <c r="J87" s="461"/>
      <c r="K87" s="469"/>
      <c r="L87" s="470"/>
      <c r="M87" s="461"/>
      <c r="N87" s="469"/>
      <c r="O87" s="470"/>
      <c r="P87" s="461"/>
      <c r="Q87" s="469"/>
      <c r="R87" s="470"/>
      <c r="S87" s="461"/>
      <c r="T87" s="469"/>
      <c r="U87" s="470"/>
      <c r="V87" s="461"/>
      <c r="W87" s="469"/>
      <c r="X87" s="470"/>
      <c r="Y87" s="461"/>
      <c r="Z87" s="469"/>
      <c r="AA87" s="470"/>
      <c r="AB87" s="461"/>
      <c r="AC87" s="469"/>
      <c r="AD87" s="470"/>
      <c r="AE87" s="461"/>
      <c r="AF87" s="469">
        <v>2.2809589400000001</v>
      </c>
      <c r="AG87" s="470"/>
      <c r="AH87" s="461">
        <f>IF(AF87=0, "    ---- ", IF(ABS(ROUND(100/AF87*AG87-100,1))&lt;999,ROUND(100/AF87*AG87-100,1),IF(ROUND(100/AF87*AG87-100,1)&gt;999,999,-999)))</f>
        <v>-100</v>
      </c>
      <c r="AI87" s="469">
        <v>243.21799999999999</v>
      </c>
      <c r="AJ87" s="470">
        <v>263.78300000000002</v>
      </c>
      <c r="AK87" s="461">
        <f t="shared" si="17"/>
        <v>8.5</v>
      </c>
      <c r="AL87" s="469"/>
      <c r="AM87" s="470"/>
      <c r="AN87" s="461"/>
      <c r="AO87" s="459">
        <f t="shared" si="40"/>
        <v>245.49895893999999</v>
      </c>
      <c r="AP87" s="460">
        <f t="shared" si="40"/>
        <v>263.78300000000002</v>
      </c>
      <c r="AQ87" s="461">
        <f t="shared" si="19"/>
        <v>7.4</v>
      </c>
      <c r="AR87" s="459">
        <f t="shared" si="20"/>
        <v>245.49895893999999</v>
      </c>
      <c r="AS87" s="460">
        <f t="shared" si="20"/>
        <v>263.78300000000002</v>
      </c>
      <c r="AT87" s="582">
        <f t="shared" si="21"/>
        <v>7.4</v>
      </c>
      <c r="AU87" s="430"/>
      <c r="AV87" s="430"/>
      <c r="AW87" s="468"/>
    </row>
    <row r="88" spans="1:49" s="427" customFormat="1" ht="20.100000000000001" customHeight="1" x14ac:dyDescent="0.3">
      <c r="A88" s="458" t="s">
        <v>266</v>
      </c>
      <c r="B88" s="469">
        <v>39.65</v>
      </c>
      <c r="C88" s="470">
        <v>66.174999999999997</v>
      </c>
      <c r="D88" s="469">
        <f>IF(B88=0, "    ---- ", IF(ABS(ROUND(100/B88*C88-100,1))&lt;999,ROUND(100/B88*C88-100,1),IF(ROUND(100/B88*C88-100,1)&gt;999,999,-999)))</f>
        <v>66.900000000000006</v>
      </c>
      <c r="E88" s="469">
        <v>-169.8</v>
      </c>
      <c r="F88" s="470">
        <v>1702.9639999999999</v>
      </c>
      <c r="G88" s="469">
        <f t="shared" si="16"/>
        <v>-999</v>
      </c>
      <c r="H88" s="469">
        <v>72.447000000000003</v>
      </c>
      <c r="I88" s="470">
        <v>98.009</v>
      </c>
      <c r="J88" s="575">
        <f t="shared" ref="J88" si="41">IF(H88=0, "    ---- ", IF(ABS(ROUND(100/H88*I88-100,1))&lt;999,ROUND(100/H88*I88-100,1),IF(ROUND(100/H88*I88-100,1)&gt;999,999,-999)))</f>
        <v>35.299999999999997</v>
      </c>
      <c r="K88" s="469">
        <v>113.81</v>
      </c>
      <c r="L88" s="470">
        <v>54.893999999999998</v>
      </c>
      <c r="M88" s="459">
        <f>IF(K88=0, "    ---- ", IF(ABS(ROUND(100/K88*L88-100,1))&lt;999,ROUND(100/K88*L88-100,1),IF(ROUND(100/K88*L88-100,1)&gt;999,999,-999)))</f>
        <v>-51.8</v>
      </c>
      <c r="N88" s="469">
        <v>3</v>
      </c>
      <c r="O88" s="470">
        <v>5</v>
      </c>
      <c r="P88" s="461">
        <f>IF(N88=0, "    ---- ", IF(ABS(ROUND(100/N88*O88-100,1))&lt;999,ROUND(100/N88*O88-100,1),IF(ROUND(100/N88*O88-100,1)&gt;999,999,-999)))</f>
        <v>66.7</v>
      </c>
      <c r="Q88" s="469">
        <v>12899.95104684</v>
      </c>
      <c r="R88" s="470">
        <v>11057.864630190001</v>
      </c>
      <c r="S88" s="461">
        <f t="shared" si="39"/>
        <v>-14.3</v>
      </c>
      <c r="T88" s="469">
        <v>10.6</v>
      </c>
      <c r="U88" s="470">
        <v>6.3</v>
      </c>
      <c r="V88" s="461">
        <f>IF(T88=0, "    ---- ", IF(ABS(ROUND(100/T88*U88-100,1))&lt;999,ROUND(100/T88*U88-100,1),IF(ROUND(100/T88*U88-100,1)&gt;999,999,-999)))</f>
        <v>-40.6</v>
      </c>
      <c r="W88" s="469">
        <v>1214.24</v>
      </c>
      <c r="X88" s="470">
        <v>502.85</v>
      </c>
      <c r="Y88" s="461">
        <f t="shared" si="22"/>
        <v>-58.6</v>
      </c>
      <c r="Z88" s="469">
        <v>431</v>
      </c>
      <c r="AA88" s="470">
        <v>327</v>
      </c>
      <c r="AB88" s="461">
        <f>IF(Z88=0, "    ---- ", IF(ABS(ROUND(100/Z88*AA88-100,1))&lt;999,ROUND(100/Z88*AA88-100,1),IF(ROUND(100/Z88*AA88-100,1)&gt;999,999,-999)))</f>
        <v>-24.1</v>
      </c>
      <c r="AC88" s="469">
        <v>3</v>
      </c>
      <c r="AD88" s="470">
        <v>4</v>
      </c>
      <c r="AE88" s="461">
        <f>IF(AC88=0, "    ---- ", IF(ABS(ROUND(100/AC88*AD88-100,1))&lt;999,ROUND(100/AC88*AD88-100,1),IF(ROUND(100/AC88*AD88-100,1)&gt;999,999,-999)))</f>
        <v>33.299999999999997</v>
      </c>
      <c r="AF88" s="469">
        <v>35.331204290000002</v>
      </c>
      <c r="AG88" s="470"/>
      <c r="AH88" s="461">
        <f>IF(AF88=0, "    ---- ", IF(ABS(ROUND(100/AF88*AG88-100,1))&lt;999,ROUND(100/AF88*AG88-100,1),IF(ROUND(100/AF88*AG88-100,1)&gt;999,999,-999)))</f>
        <v>-100</v>
      </c>
      <c r="AI88" s="469">
        <v>325.69499999999999</v>
      </c>
      <c r="AJ88" s="470">
        <v>357.13400000000001</v>
      </c>
      <c r="AK88" s="461">
        <f t="shared" si="17"/>
        <v>9.6999999999999993</v>
      </c>
      <c r="AL88" s="469">
        <v>7699</v>
      </c>
      <c r="AM88" s="470">
        <v>3241</v>
      </c>
      <c r="AN88" s="461">
        <f t="shared" si="24"/>
        <v>-57.9</v>
      </c>
      <c r="AO88" s="459">
        <f t="shared" si="40"/>
        <v>22671.92425113</v>
      </c>
      <c r="AP88" s="460">
        <f t="shared" si="40"/>
        <v>17414.190630190002</v>
      </c>
      <c r="AQ88" s="461">
        <f t="shared" si="19"/>
        <v>-23.2</v>
      </c>
      <c r="AR88" s="459">
        <f t="shared" si="20"/>
        <v>22677.92425113</v>
      </c>
      <c r="AS88" s="460">
        <f t="shared" si="20"/>
        <v>17423.190630190002</v>
      </c>
      <c r="AT88" s="582">
        <f t="shared" si="21"/>
        <v>-23.2</v>
      </c>
      <c r="AU88" s="430"/>
      <c r="AV88" s="430"/>
      <c r="AW88" s="468"/>
    </row>
    <row r="89" spans="1:49" s="427" customFormat="1" ht="20.100000000000001" customHeight="1" x14ac:dyDescent="0.3">
      <c r="A89" s="458" t="s">
        <v>267</v>
      </c>
      <c r="B89" s="469">
        <v>17.314</v>
      </c>
      <c r="C89" s="470">
        <v>26.495000000000001</v>
      </c>
      <c r="D89" s="469">
        <f>IF(B89=0, "    ---- ", IF(ABS(ROUND(100/B89*C89-100,1))&lt;999,ROUND(100/B89*C89-100,1),IF(ROUND(100/B89*C89-100,1)&gt;999,999,-999)))</f>
        <v>53</v>
      </c>
      <c r="E89" s="469">
        <v>257.10000000000002</v>
      </c>
      <c r="F89" s="470">
        <v>193.63900000000001</v>
      </c>
      <c r="G89" s="469">
        <f t="shared" si="16"/>
        <v>-24.7</v>
      </c>
      <c r="H89" s="469">
        <v>15.66</v>
      </c>
      <c r="I89" s="470">
        <v>13.079000000000001</v>
      </c>
      <c r="J89" s="469">
        <f>IF(H89=0, "    ---- ", IF(ABS(ROUND(100/H89*I89-100,1))&lt;999,ROUND(100/H89*I89-100,1),IF(ROUND(100/H89*I89-100,1)&gt;999,999,-999)))</f>
        <v>-16.5</v>
      </c>
      <c r="K89" s="469">
        <v>16.347999999999999</v>
      </c>
      <c r="L89" s="470">
        <v>15.9</v>
      </c>
      <c r="M89" s="461">
        <f>IF(K89=0, "    ---- ", IF(ABS(ROUND(100/K89*L89-100,1))&lt;999,ROUND(100/K89*L89-100,1),IF(ROUND(100/K89*L89-100,1)&gt;999,999,-999)))</f>
        <v>-2.7</v>
      </c>
      <c r="N89" s="469">
        <v>1</v>
      </c>
      <c r="O89" s="470"/>
      <c r="P89" s="461">
        <f>IF(N89=0, "    ---- ", IF(ABS(ROUND(100/N89*O89-100,1))&lt;999,ROUND(100/N89*O89-100,1),IF(ROUND(100/N89*O89-100,1)&gt;999,999,-999)))</f>
        <v>-100</v>
      </c>
      <c r="Q89" s="469">
        <v>55.364834729999998</v>
      </c>
      <c r="R89" s="470">
        <v>59.707164179999999</v>
      </c>
      <c r="S89" s="461">
        <f t="shared" si="39"/>
        <v>7.8</v>
      </c>
      <c r="T89" s="469">
        <v>4.0999999999999996</v>
      </c>
      <c r="U89" s="470">
        <v>5</v>
      </c>
      <c r="V89" s="461">
        <f>IF(T89=0, "    ---- ", IF(ABS(ROUND(100/T89*U89-100,1))&lt;999,ROUND(100/T89*U89-100,1),IF(ROUND(100/T89*U89-100,1)&gt;999,999,-999)))</f>
        <v>22</v>
      </c>
      <c r="W89" s="469">
        <v>57.67</v>
      </c>
      <c r="X89" s="470">
        <v>62.61</v>
      </c>
      <c r="Y89" s="461">
        <f t="shared" si="22"/>
        <v>8.6</v>
      </c>
      <c r="Z89" s="469">
        <v>52</v>
      </c>
      <c r="AA89" s="470">
        <v>51</v>
      </c>
      <c r="AB89" s="461">
        <f>IF(Z89=0, "    ---- ", IF(ABS(ROUND(100/Z89*AA89-100,1))&lt;999,ROUND(100/Z89*AA89-100,1),IF(ROUND(100/Z89*AA89-100,1)&gt;999,999,-999)))</f>
        <v>-1.9</v>
      </c>
      <c r="AC89" s="469"/>
      <c r="AD89" s="470"/>
      <c r="AE89" s="461"/>
      <c r="AF89" s="469">
        <v>4.8757124000000003</v>
      </c>
      <c r="AG89" s="470"/>
      <c r="AH89" s="461">
        <f>IF(AF89=0, "    ---- ", IF(ABS(ROUND(100/AF89*AG89-100,1))&lt;999,ROUND(100/AF89*AG89-100,1),IF(ROUND(100/AF89*AG89-100,1)&gt;999,999,-999)))</f>
        <v>-100</v>
      </c>
      <c r="AI89" s="469">
        <v>127.845</v>
      </c>
      <c r="AJ89" s="470">
        <v>111.946</v>
      </c>
      <c r="AK89" s="461">
        <f t="shared" si="17"/>
        <v>-12.4</v>
      </c>
      <c r="AL89" s="469">
        <v>245</v>
      </c>
      <c r="AM89" s="470">
        <v>154</v>
      </c>
      <c r="AN89" s="461">
        <f t="shared" si="24"/>
        <v>-37.1</v>
      </c>
      <c r="AO89" s="459">
        <f t="shared" si="40"/>
        <v>853.27754713000013</v>
      </c>
      <c r="AP89" s="460">
        <f t="shared" si="40"/>
        <v>693.37616418000005</v>
      </c>
      <c r="AQ89" s="461">
        <f t="shared" si="19"/>
        <v>-18.7</v>
      </c>
      <c r="AR89" s="459">
        <f t="shared" si="20"/>
        <v>854.27754713000013</v>
      </c>
      <c r="AS89" s="460">
        <f t="shared" si="20"/>
        <v>693.37616418000005</v>
      </c>
      <c r="AT89" s="582">
        <f t="shared" si="21"/>
        <v>-18.8</v>
      </c>
      <c r="AU89" s="430"/>
      <c r="AV89" s="430"/>
      <c r="AW89" s="468"/>
    </row>
    <row r="90" spans="1:49" s="427" customFormat="1" ht="20.100000000000001" customHeight="1" x14ac:dyDescent="0.3">
      <c r="A90" s="458"/>
      <c r="B90" s="469"/>
      <c r="C90" s="470"/>
      <c r="D90" s="461"/>
      <c r="E90" s="469"/>
      <c r="F90" s="470"/>
      <c r="G90" s="461"/>
      <c r="H90" s="469"/>
      <c r="I90" s="470"/>
      <c r="J90" s="461"/>
      <c r="K90" s="469"/>
      <c r="L90" s="470"/>
      <c r="M90" s="461"/>
      <c r="N90" s="469"/>
      <c r="O90" s="470"/>
      <c r="P90" s="461"/>
      <c r="Q90" s="469"/>
      <c r="R90" s="470"/>
      <c r="S90" s="461"/>
      <c r="T90" s="469"/>
      <c r="U90" s="470"/>
      <c r="V90" s="461"/>
      <c r="W90" s="469"/>
      <c r="X90" s="470"/>
      <c r="Y90" s="461"/>
      <c r="Z90" s="469"/>
      <c r="AA90" s="470"/>
      <c r="AB90" s="461"/>
      <c r="AC90" s="469"/>
      <c r="AD90" s="470"/>
      <c r="AE90" s="461"/>
      <c r="AF90" s="469"/>
      <c r="AG90" s="470"/>
      <c r="AH90" s="461"/>
      <c r="AI90" s="469"/>
      <c r="AJ90" s="470"/>
      <c r="AK90" s="461"/>
      <c r="AL90" s="469"/>
      <c r="AM90" s="470"/>
      <c r="AN90" s="461"/>
      <c r="AO90" s="459"/>
      <c r="AP90" s="460"/>
      <c r="AQ90" s="461"/>
      <c r="AR90" s="459"/>
      <c r="AS90" s="460"/>
      <c r="AT90" s="582"/>
      <c r="AU90" s="430"/>
      <c r="AV90" s="430"/>
      <c r="AW90" s="468"/>
    </row>
    <row r="91" spans="1:49" s="491" customFormat="1" ht="20.100000000000001" customHeight="1" x14ac:dyDescent="0.3">
      <c r="A91" s="487" t="s">
        <v>268</v>
      </c>
      <c r="B91" s="489">
        <v>14489.368999999999</v>
      </c>
      <c r="C91" s="590">
        <f>SUM(C68+C69+C71+C79+C85+C86+C87+C88+C89)</f>
        <v>17645.957999999999</v>
      </c>
      <c r="D91" s="489">
        <f>IF(B91=0, "    ---- ", IF(ABS(ROUND(100/B91*C91-100,1))&lt;999,ROUND(100/B91*C91-100,1),IF(ROUND(100/B91*C91-100,1)&gt;999,999,-999)))</f>
        <v>21.8</v>
      </c>
      <c r="E91" s="591">
        <v>295480.09999999998</v>
      </c>
      <c r="F91" s="590">
        <f>SUM(F68+F69+F71+F79+F85+F86+F87+F88+F89)</f>
        <v>311889.27799999999</v>
      </c>
      <c r="G91" s="489">
        <f t="shared" si="16"/>
        <v>5.6</v>
      </c>
      <c r="H91" s="591">
        <v>3707.4690000000001</v>
      </c>
      <c r="I91" s="590">
        <f>SUM(I68+I69+I71+I79+I85+I86+I87+I88+I89)</f>
        <v>4430.8059999999996</v>
      </c>
      <c r="J91" s="489">
        <f>IF(H91=0, "    ---- ", IF(ABS(ROUND(100/H91*I91-100,1))&lt;999,ROUND(100/H91*I91-100,1),IF(ROUND(100/H91*I91-100,1)&gt;999,999,-999)))</f>
        <v>19.5</v>
      </c>
      <c r="K91" s="591">
        <v>23220.51946</v>
      </c>
      <c r="L91" s="590">
        <f>SUM(L68+L69+L71+L79+L85+L86+L87+L88+L89)</f>
        <v>28429.010000000006</v>
      </c>
      <c r="M91" s="489">
        <f>IF(K91=0, "    ---- ", IF(ABS(ROUND(100/K91*L91-100,1))&lt;999,ROUND(100/K91*L91-100,1),IF(ROUND(100/K91*L91-100,1)&gt;999,999,-999)))</f>
        <v>22.4</v>
      </c>
      <c r="N91" s="591">
        <v>138</v>
      </c>
      <c r="O91" s="590">
        <f>SUM(O68+O69+O71+O79+O85+O86+O87+O88+O89)</f>
        <v>140</v>
      </c>
      <c r="P91" s="489">
        <f>IF(N91=0, "    ---- ", IF(ABS(ROUND(100/N91*O91-100,1))&lt;999,ROUND(100/N91*O91-100,1),IF(ROUND(100/N91*O91-100,1)&gt;999,999,-999)))</f>
        <v>1.4</v>
      </c>
      <c r="Q91" s="591">
        <v>493243.14416784991</v>
      </c>
      <c r="R91" s="590">
        <f>SUM(R68+R69+R71+R79+R85+R86+R87+R88+R89)</f>
        <v>527488.39435888</v>
      </c>
      <c r="S91" s="489">
        <f t="shared" si="39"/>
        <v>6.9</v>
      </c>
      <c r="T91" s="591">
        <v>3374.1</v>
      </c>
      <c r="U91" s="590">
        <f>SUM(U68+U69+U71+U79+U85+U86+U87+U88+U89)</f>
        <v>4592.4000000000005</v>
      </c>
      <c r="V91" s="489">
        <f>IF(T91=0, "    ---- ", IF(ABS(ROUND(100/T91*U91-100,1))&lt;999,ROUND(100/T91*U91-100,1),IF(ROUND(100/T91*U91-100,1)&gt;999,999,-999)))</f>
        <v>36.1</v>
      </c>
      <c r="W91" s="591">
        <v>102972.59000000003</v>
      </c>
      <c r="X91" s="590">
        <f>SUM(X68+X69+X71+X79+X85+X86+X87+X88+X89)</f>
        <v>115009.825083</v>
      </c>
      <c r="Y91" s="489">
        <f t="shared" si="22"/>
        <v>11.7</v>
      </c>
      <c r="Z91" s="591">
        <v>82595</v>
      </c>
      <c r="AA91" s="590">
        <f>SUM(AA68+AA69+AA71+AA79+AA85+AA86+AA87+AA88+AA89)</f>
        <v>89698</v>
      </c>
      <c r="AB91" s="489">
        <f>IF(Z91=0, "    ---- ", IF(ABS(ROUND(100/Z91*AA91-100,1))&lt;999,ROUND(100/Z91*AA91-100,1),IF(ROUND(100/Z91*AA91-100,1)&gt;999,999,-999)))</f>
        <v>8.6</v>
      </c>
      <c r="AC91" s="591">
        <v>1642</v>
      </c>
      <c r="AD91" s="590">
        <f>SUM(AD68+AD69+AD71+AD79+AD85+AD86+AD87+AD88+AD89)</f>
        <v>1992</v>
      </c>
      <c r="AE91" s="489">
        <f>IF(AC91=0, "    ---- ", IF(ABS(ROUND(100/AC91*AD91-100,1))&lt;999,ROUND(100/AC91*AD91-100,1),IF(ROUND(100/AC91*AD91-100,1)&gt;999,999,-999)))</f>
        <v>21.3</v>
      </c>
      <c r="AF91" s="591">
        <v>9563.0486091900002</v>
      </c>
      <c r="AG91" s="590">
        <f>SUM(AG68+AG69+AG71+AG79+AG85+AG86+AG87+AG88+AG89)</f>
        <v>0</v>
      </c>
      <c r="AH91" s="489">
        <f>IF(AF91=0, "    ---- ", IF(ABS(ROUND(100/AF91*AG91-100,1))&lt;999,ROUND(100/AF91*AG91-100,1),IF(ROUND(100/AF91*AG91-100,1)&gt;999,999,-999)))</f>
        <v>-100</v>
      </c>
      <c r="AI91" s="591">
        <v>44265.812226000002</v>
      </c>
      <c r="AJ91" s="590">
        <f>SUM(AJ68+AJ69+AJ71+AJ79+AJ85+AJ86+AJ87+AJ88+AJ89)</f>
        <v>52295.527991000003</v>
      </c>
      <c r="AK91" s="489">
        <f t="shared" si="17"/>
        <v>18.100000000000001</v>
      </c>
      <c r="AL91" s="591">
        <v>283025.7</v>
      </c>
      <c r="AM91" s="590">
        <f>SUM(AM68+AM69+AM71+AM79+AM85+AM86+AM87+AM88+AM89)</f>
        <v>296623</v>
      </c>
      <c r="AN91" s="489">
        <f t="shared" si="24"/>
        <v>4.8</v>
      </c>
      <c r="AO91" s="592">
        <f>B91+E91+H91+K91+Q91+T91+W91+Z91+AF91+AI91+AL91</f>
        <v>1355936.8524630398</v>
      </c>
      <c r="AP91" s="593">
        <f>C91+F91+I91+L91+R91+U91+X91+AA91+AG91+AJ91+AM91</f>
        <v>1448102.1994328802</v>
      </c>
      <c r="AQ91" s="489">
        <f t="shared" si="19"/>
        <v>6.8</v>
      </c>
      <c r="AR91" s="594">
        <f t="shared" si="20"/>
        <v>1357716.8524630398</v>
      </c>
      <c r="AS91" s="593">
        <f t="shared" si="20"/>
        <v>1450234.1994328802</v>
      </c>
      <c r="AT91" s="595">
        <f t="shared" si="21"/>
        <v>6.8</v>
      </c>
      <c r="AU91" s="586"/>
      <c r="AV91" s="468"/>
      <c r="AW91" s="468"/>
    </row>
    <row r="92" spans="1:49" ht="18.75" customHeight="1" x14ac:dyDescent="0.3">
      <c r="A92" s="507" t="s">
        <v>269</v>
      </c>
      <c r="B92" s="507"/>
      <c r="Q92" s="507"/>
      <c r="X92" s="596"/>
      <c r="Y92" s="596"/>
      <c r="Z92" s="596"/>
      <c r="AA92" s="596"/>
      <c r="AB92" s="596"/>
      <c r="AC92" s="596"/>
      <c r="AD92" s="596"/>
      <c r="AE92" s="596"/>
      <c r="AF92" s="596"/>
      <c r="AG92" s="596"/>
      <c r="AH92" s="596"/>
      <c r="AI92" s="507"/>
      <c r="AL92" s="507"/>
    </row>
    <row r="93" spans="1:49" ht="18.75" customHeight="1" x14ac:dyDescent="0.3">
      <c r="A93" s="507" t="s">
        <v>270</v>
      </c>
      <c r="Q93" s="507"/>
      <c r="X93" s="596"/>
      <c r="Y93" s="596"/>
      <c r="Z93" s="596"/>
      <c r="AA93" s="596"/>
      <c r="AB93" s="596"/>
      <c r="AC93" s="596"/>
      <c r="AD93" s="596"/>
      <c r="AE93" s="596"/>
      <c r="AF93" s="596"/>
      <c r="AG93" s="596"/>
      <c r="AH93" s="596"/>
      <c r="AI93" s="507"/>
      <c r="AL93" s="507"/>
    </row>
    <row r="94" spans="1:49" s="542" customFormat="1" ht="18.75" customHeight="1" x14ac:dyDescent="0.3">
      <c r="A94" s="507" t="s">
        <v>271</v>
      </c>
      <c r="Y94" s="597"/>
      <c r="Z94" s="597"/>
      <c r="AA94" s="597"/>
      <c r="AB94" s="597"/>
      <c r="AC94" s="597"/>
      <c r="AD94" s="597"/>
      <c r="AE94" s="597"/>
      <c r="AF94" s="597"/>
      <c r="AG94" s="597"/>
      <c r="AH94" s="597"/>
      <c r="AU94" s="541"/>
      <c r="AV94" s="541"/>
    </row>
    <row r="95" spans="1:49" s="542" customFormat="1" ht="18.75" x14ac:dyDescent="0.3">
      <c r="AU95" s="541"/>
      <c r="AV95" s="541"/>
    </row>
    <row r="96" spans="1:49" s="542" customFormat="1" ht="18.75" x14ac:dyDescent="0.3"/>
    <row r="97" s="542" customFormat="1" ht="18.75" x14ac:dyDescent="0.3"/>
    <row r="98" s="542" customFormat="1" ht="18.75" x14ac:dyDescent="0.3"/>
    <row r="99" s="542" customFormat="1" ht="18.75" x14ac:dyDescent="0.3"/>
    <row r="100" s="542" customFormat="1" ht="18.75" x14ac:dyDescent="0.3"/>
    <row r="101" s="542" customFormat="1" ht="18.75" x14ac:dyDescent="0.3"/>
    <row r="102" s="542" customFormat="1" ht="18.75" x14ac:dyDescent="0.3"/>
    <row r="103" s="542" customFormat="1" ht="18.75" x14ac:dyDescent="0.3"/>
    <row r="104" s="542" customFormat="1" ht="18.75" x14ac:dyDescent="0.3"/>
    <row r="105" s="542" customFormat="1" ht="18.75" x14ac:dyDescent="0.3"/>
    <row r="106" s="542" customFormat="1" ht="18.75" x14ac:dyDescent="0.3"/>
    <row r="107" s="542" customFormat="1" ht="18.75" x14ac:dyDescent="0.3"/>
    <row r="108" s="542" customFormat="1" ht="18.75" x14ac:dyDescent="0.3"/>
    <row r="109" s="542" customFormat="1" ht="18.75" x14ac:dyDescent="0.3"/>
    <row r="110" s="542" customFormat="1" ht="18.75" x14ac:dyDescent="0.3"/>
    <row r="111" s="542" customFormat="1" ht="18.75" x14ac:dyDescent="0.3"/>
    <row r="112" s="542" customFormat="1" ht="18.75" x14ac:dyDescent="0.3"/>
    <row r="113" s="598" customFormat="1" ht="15.75" x14ac:dyDescent="0.25"/>
    <row r="114" s="598" customFormat="1" ht="15.75" x14ac:dyDescent="0.25"/>
  </sheetData>
  <mergeCells count="37">
    <mergeCell ref="T5:V5"/>
    <mergeCell ref="BI5:BK5"/>
    <mergeCell ref="Z5:AB5"/>
    <mergeCell ref="AF5:AH5"/>
    <mergeCell ref="AI5:AK5"/>
    <mergeCell ref="AL5:AN5"/>
    <mergeCell ref="AO5:AQ5"/>
    <mergeCell ref="AR5:AT5"/>
    <mergeCell ref="H6:J6"/>
    <mergeCell ref="K6:M6"/>
    <mergeCell ref="N6:P6"/>
    <mergeCell ref="H5:J5"/>
    <mergeCell ref="K5:M5"/>
    <mergeCell ref="N5:P5"/>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BI6:BK6"/>
    <mergeCell ref="AI6:AK6"/>
    <mergeCell ref="AL6:AN6"/>
    <mergeCell ref="AO6:AQ6"/>
    <mergeCell ref="AR6:AT6"/>
    <mergeCell ref="AW6:AY6"/>
    <mergeCell ref="AZ6:BB6"/>
  </mergeCells>
  <conditionalFormatting sqref="B35:C35 E35:F35 H35:I35 K35:L35 N35:O35 Q35:R35 T35:U35 W35:X35 Z35:AA35 AC35:AD35 AF35:AG35 AI35:AJ35 AL35:AM35 AO35:AP35 AR35:AS35">
    <cfRule type="expression" dxfId="11" priority="163">
      <formula>#REF! ="35≠36+38"</formula>
    </cfRule>
  </conditionalFormatting>
  <conditionalFormatting sqref="B39:C39 E39:F39 H39:I39 K39:L39 N39:O39 Q39:R39 T39:U39 W39:X39 Z39:AA39 AC39:AD39 AF39:AG39 AI39:AJ39 AL39:AM39 AO39:AP39 AR39:AS39">
    <cfRule type="expression" dxfId="10" priority="178">
      <formula>#REF! ="39≠40+41+42+43+44"</formula>
    </cfRule>
  </conditionalFormatting>
  <conditionalFormatting sqref="B45:C45 E45:F45 H45:I45 K45:L45 N45:O45 Q45:R45 T45:U45 W45:X45 Z45:AA45 AC45:AD45 AF45:AG45 AI45:AJ45 AL45:AM45 AO45:AP45 AR45:AS45">
    <cfRule type="expression" dxfId="9" priority="193">
      <formula>#REF! ="45≠33+34+35+39"</formula>
    </cfRule>
  </conditionalFormatting>
  <conditionalFormatting sqref="B50:C50 E50:F50 H50:I50 K50:L50 N50:O50 Q50:R50 T50:U50 W50:X50 Z50:AA50 AC50:AD50 AF50:AG50 AI50:AJ50 AL50:AM50 AO50:AP50 AR50:AS50">
    <cfRule type="expression" dxfId="8" priority="208">
      <formula>#REF! ="50≠51+53"</formula>
    </cfRule>
  </conditionalFormatting>
  <conditionalFormatting sqref="B54:C54 E54:F54 H54:I54 K54:L54 N54:O54 Q54:R54 T54:U54 W54:X54 Z54:AA54 AC54:AD54 AF54:AG54 AI54:AJ54 AL54:AM54 AO54:AP54 AR54:AS54">
    <cfRule type="expression" dxfId="7" priority="223">
      <formula>#REF! ="54≠55+56+57+58+59"</formula>
    </cfRule>
  </conditionalFormatting>
  <conditionalFormatting sqref="B60:C60 E60:F60 H60:I60 K60:L60 N60:O60 Q60:R60 T60:U60 W60:X60 Z60:AA60 AC60:AD60 AF60:AG60 AI60:AJ60 AL60:AM60 AO60:AP60 AR60:AS60">
    <cfRule type="expression" dxfId="6" priority="238">
      <formula>#REF! ="60≠48+49+50+54"</formula>
    </cfRule>
  </conditionalFormatting>
  <conditionalFormatting sqref="B62:C62 E62:F62 H62:I62 K62:L62 N62:O62 Q62:R62 T62:U62 W62:X62 Z62:AA62 AC62:AD62 AF62:AG62 AI62:AJ62 AL62:AM62 AO62:AP62 AR62:AS62">
    <cfRule type="expression" dxfId="5" priority="253">
      <formula>#REF! ="62≠45+46+60+61"</formula>
    </cfRule>
  </conditionalFormatting>
  <conditionalFormatting sqref="B64:C64 E64:F64 H64:I64 K64:L64 N64:O64 Q64:R64 T64:U64 W64:X64 Z64:AA64 AC64:AD64 AF64:AG64 AI64:AJ64 AL64:AM64 AO64:AP64 AR64:AS64">
    <cfRule type="expression" dxfId="4" priority="268">
      <formula>#REF! ="64≠29+62"</formula>
    </cfRule>
  </conditionalFormatting>
  <conditionalFormatting sqref="B79:C79 N79:O79 Q79:R79 T79:U79 AC79:AD79 AO79:AP79 AR79:AS79 E79:F79 H79:I79 K79:L79 W79:X79 Z79:AA79 AF79:AG79 AI79:AJ79 AL79:AM79">
    <cfRule type="expression" dxfId="3" priority="283">
      <formula>#REF! ="79≠73+74+75+76+77+78"</formula>
    </cfRule>
  </conditionalFormatting>
  <conditionalFormatting sqref="B85:C85 H85:I85 K85:L85 N85:O85 Q85:R85 T85:U85 Z85:AA85 AC85:AD85 AF85:AG85 AI85:AJ85 AL85:AM85 AO85:AP85 AR85:AS85 E85:F85 W85:X85">
    <cfRule type="expression" dxfId="2" priority="298">
      <formula>#REF! ="85≠81+82+83+84"</formula>
    </cfRule>
  </conditionalFormatting>
  <conditionalFormatting sqref="B91:C91 E91:F91 H91:I91 K91:L91 N91:O91 Q91:R91 T91:U91 W91:X91 Z91:AA91 AC91:AD91 AF91:AG91 AI91:AJ91 AL91:AM91 AO91:AP91 AR91:AS91">
    <cfRule type="expression" dxfId="1" priority="313">
      <formula>#REF! = "64≠94"</formula>
    </cfRule>
  </conditionalFormatting>
  <conditionalFormatting sqref="B91:C91 E91:F91 H91:I91 K91:L91 N91:O91 Q91:R91 T91:U91 W91:X91 Z91:AA91 AC91:AD91 AF91:AG91 AI91:AJ91 AL91:AM91 AO91:AP91 AR91:AS91">
    <cfRule type="expression" dxfId="0" priority="328">
      <formula>#REF! = "94≠68+69+71+80+88+89+90+91+92"</formula>
    </cfRule>
  </conditionalFormatting>
  <hyperlinks>
    <hyperlink ref="B1" location="Innhold!A1" display="Tilbak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BB18"/>
  <sheetViews>
    <sheetView showGridLines="0" zoomScale="60" zoomScaleNormal="6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RowHeight="12.75" x14ac:dyDescent="0.2"/>
  <cols>
    <col min="1" max="1" width="45.140625" style="600" customWidth="1"/>
    <col min="2" max="34" width="11.42578125" style="600"/>
    <col min="35" max="35" width="11.7109375" style="600" customWidth="1"/>
    <col min="36" max="16384" width="11.42578125" style="600"/>
  </cols>
  <sheetData>
    <row r="1" spans="1:54" ht="20.25" x14ac:dyDescent="0.3">
      <c r="A1" s="599" t="s">
        <v>187</v>
      </c>
      <c r="B1" s="424" t="s">
        <v>53</v>
      </c>
      <c r="AL1" s="601"/>
    </row>
    <row r="2" spans="1:54" ht="20.25" x14ac:dyDescent="0.3">
      <c r="A2" s="599" t="s">
        <v>286</v>
      </c>
      <c r="AL2" s="601"/>
    </row>
    <row r="3" spans="1:54" ht="18.75" x14ac:dyDescent="0.3">
      <c r="A3" s="602" t="s">
        <v>354</v>
      </c>
      <c r="AL3" s="603"/>
    </row>
    <row r="4" spans="1:54" ht="18.75" x14ac:dyDescent="0.3">
      <c r="A4" s="604" t="s">
        <v>389</v>
      </c>
      <c r="B4" s="605"/>
      <c r="C4" s="606"/>
      <c r="D4" s="607"/>
      <c r="E4" s="605"/>
      <c r="F4" s="606"/>
      <c r="G4" s="607"/>
      <c r="H4" s="606"/>
      <c r="I4" s="606"/>
      <c r="J4" s="607"/>
      <c r="K4" s="605"/>
      <c r="L4" s="606"/>
      <c r="M4" s="607"/>
      <c r="N4" s="605"/>
      <c r="O4" s="606"/>
      <c r="P4" s="607"/>
      <c r="Q4" s="605"/>
      <c r="R4" s="606"/>
      <c r="S4" s="607"/>
      <c r="T4" s="605"/>
      <c r="U4" s="606"/>
      <c r="V4" s="607"/>
      <c r="W4" s="605"/>
      <c r="X4" s="606"/>
      <c r="Y4" s="607"/>
      <c r="Z4" s="605"/>
      <c r="AA4" s="606"/>
      <c r="AB4" s="607"/>
      <c r="AC4" s="605"/>
      <c r="AD4" s="606"/>
      <c r="AE4" s="607"/>
      <c r="AF4" s="605"/>
      <c r="AG4" s="606"/>
      <c r="AH4" s="607"/>
      <c r="AI4" s="605"/>
      <c r="AJ4" s="608"/>
      <c r="AK4" s="607"/>
      <c r="AL4" s="609"/>
      <c r="AM4" s="610"/>
      <c r="AN4" s="610"/>
      <c r="AO4" s="610"/>
      <c r="AP4" s="610"/>
      <c r="AQ4" s="610"/>
      <c r="AR4" s="610"/>
      <c r="AS4" s="610"/>
      <c r="AT4" s="610"/>
      <c r="AU4" s="610"/>
      <c r="AV4" s="610"/>
      <c r="AW4" s="610"/>
      <c r="AX4" s="610"/>
      <c r="AY4" s="610"/>
      <c r="AZ4" s="610"/>
      <c r="BA4" s="610"/>
      <c r="BB4" s="610"/>
    </row>
    <row r="5" spans="1:54" ht="18.75" x14ac:dyDescent="0.3">
      <c r="A5" s="611"/>
      <c r="B5" s="714" t="s">
        <v>190</v>
      </c>
      <c r="C5" s="715"/>
      <c r="D5" s="716"/>
      <c r="E5" s="714" t="s">
        <v>191</v>
      </c>
      <c r="F5" s="715"/>
      <c r="G5" s="716"/>
      <c r="H5" s="715" t="s">
        <v>192</v>
      </c>
      <c r="I5" s="715"/>
      <c r="J5" s="716"/>
      <c r="K5" s="714" t="s">
        <v>193</v>
      </c>
      <c r="L5" s="715"/>
      <c r="M5" s="716"/>
      <c r="N5" s="612" t="s">
        <v>194</v>
      </c>
      <c r="O5" s="613"/>
      <c r="P5" s="614"/>
      <c r="Q5" s="714" t="s">
        <v>65</v>
      </c>
      <c r="R5" s="715"/>
      <c r="S5" s="716"/>
      <c r="T5" s="612"/>
      <c r="U5" s="613"/>
      <c r="V5" s="614"/>
      <c r="W5" s="714" t="s">
        <v>195</v>
      </c>
      <c r="X5" s="715"/>
      <c r="Y5" s="716"/>
      <c r="Z5" s="714" t="s">
        <v>77</v>
      </c>
      <c r="AA5" s="715"/>
      <c r="AB5" s="716"/>
      <c r="AC5" s="714"/>
      <c r="AD5" s="715"/>
      <c r="AE5" s="716"/>
      <c r="AF5" s="714" t="s">
        <v>78</v>
      </c>
      <c r="AG5" s="715"/>
      <c r="AH5" s="716"/>
      <c r="AI5" s="714" t="s">
        <v>304</v>
      </c>
      <c r="AJ5" s="715"/>
      <c r="AK5" s="716"/>
      <c r="AL5" s="615"/>
      <c r="AM5" s="616"/>
      <c r="AN5" s="710"/>
      <c r="AO5" s="710"/>
      <c r="AP5" s="710"/>
      <c r="AQ5" s="710"/>
      <c r="AR5" s="710"/>
      <c r="AS5" s="710"/>
      <c r="AT5" s="710"/>
      <c r="AU5" s="710"/>
      <c r="AV5" s="710"/>
      <c r="AW5" s="710"/>
      <c r="AX5" s="710"/>
      <c r="AY5" s="710"/>
      <c r="AZ5" s="710"/>
      <c r="BA5" s="710"/>
      <c r="BB5" s="710"/>
    </row>
    <row r="6" spans="1:54" ht="18.75" x14ac:dyDescent="0.3">
      <c r="A6" s="617"/>
      <c r="B6" s="711" t="s">
        <v>196</v>
      </c>
      <c r="C6" s="712"/>
      <c r="D6" s="713"/>
      <c r="E6" s="711" t="s">
        <v>197</v>
      </c>
      <c r="F6" s="712"/>
      <c r="G6" s="713"/>
      <c r="H6" s="712" t="s">
        <v>197</v>
      </c>
      <c r="I6" s="712"/>
      <c r="J6" s="713"/>
      <c r="K6" s="711" t="s">
        <v>198</v>
      </c>
      <c r="L6" s="712"/>
      <c r="M6" s="713"/>
      <c r="N6" s="711" t="s">
        <v>65</v>
      </c>
      <c r="O6" s="712"/>
      <c r="P6" s="713"/>
      <c r="Q6" s="711" t="s">
        <v>199</v>
      </c>
      <c r="R6" s="712"/>
      <c r="S6" s="713"/>
      <c r="T6" s="711" t="s">
        <v>70</v>
      </c>
      <c r="U6" s="712"/>
      <c r="V6" s="713"/>
      <c r="W6" s="711" t="s">
        <v>196</v>
      </c>
      <c r="X6" s="712"/>
      <c r="Y6" s="713"/>
      <c r="Z6" s="711" t="s">
        <v>200</v>
      </c>
      <c r="AA6" s="712"/>
      <c r="AB6" s="713"/>
      <c r="AC6" s="711" t="s">
        <v>72</v>
      </c>
      <c r="AD6" s="712"/>
      <c r="AE6" s="713"/>
      <c r="AF6" s="711" t="s">
        <v>197</v>
      </c>
      <c r="AG6" s="712"/>
      <c r="AH6" s="713"/>
      <c r="AI6" s="711" t="s">
        <v>305</v>
      </c>
      <c r="AJ6" s="712"/>
      <c r="AK6" s="713"/>
      <c r="AL6" s="615"/>
      <c r="AM6" s="616"/>
      <c r="AN6" s="710"/>
      <c r="AO6" s="710"/>
      <c r="AP6" s="710"/>
      <c r="AQ6" s="710"/>
      <c r="AR6" s="710"/>
      <c r="AS6" s="710"/>
      <c r="AT6" s="710"/>
      <c r="AU6" s="710"/>
      <c r="AV6" s="710"/>
      <c r="AW6" s="710"/>
      <c r="AX6" s="710"/>
      <c r="AY6" s="710"/>
      <c r="AZ6" s="710"/>
      <c r="BA6" s="710"/>
      <c r="BB6" s="710"/>
    </row>
    <row r="7" spans="1:54" ht="18.75" x14ac:dyDescent="0.3">
      <c r="A7" s="617"/>
      <c r="B7" s="618"/>
      <c r="C7" s="618"/>
      <c r="D7" s="619" t="s">
        <v>87</v>
      </c>
      <c r="E7" s="618"/>
      <c r="F7" s="618"/>
      <c r="G7" s="619" t="s">
        <v>87</v>
      </c>
      <c r="H7" s="618"/>
      <c r="I7" s="618"/>
      <c r="J7" s="619" t="s">
        <v>87</v>
      </c>
      <c r="K7" s="618"/>
      <c r="L7" s="618"/>
      <c r="M7" s="619" t="s">
        <v>87</v>
      </c>
      <c r="N7" s="618"/>
      <c r="O7" s="618"/>
      <c r="P7" s="619" t="s">
        <v>87</v>
      </c>
      <c r="Q7" s="618"/>
      <c r="R7" s="618"/>
      <c r="S7" s="619" t="s">
        <v>87</v>
      </c>
      <c r="T7" s="618"/>
      <c r="U7" s="618"/>
      <c r="V7" s="619" t="s">
        <v>87</v>
      </c>
      <c r="W7" s="618"/>
      <c r="X7" s="618"/>
      <c r="Y7" s="619" t="s">
        <v>87</v>
      </c>
      <c r="Z7" s="618"/>
      <c r="AA7" s="618"/>
      <c r="AB7" s="619" t="s">
        <v>87</v>
      </c>
      <c r="AC7" s="618"/>
      <c r="AD7" s="618"/>
      <c r="AE7" s="619" t="s">
        <v>87</v>
      </c>
      <c r="AF7" s="618"/>
      <c r="AG7" s="618"/>
      <c r="AH7" s="619" t="s">
        <v>87</v>
      </c>
      <c r="AI7" s="618"/>
      <c r="AJ7" s="618"/>
      <c r="AK7" s="619" t="s">
        <v>87</v>
      </c>
      <c r="AL7" s="615"/>
      <c r="AM7" s="616"/>
      <c r="AN7" s="616"/>
      <c r="AO7" s="616"/>
      <c r="AP7" s="616"/>
      <c r="AQ7" s="616"/>
      <c r="AR7" s="616"/>
      <c r="AS7" s="616"/>
      <c r="AT7" s="616"/>
      <c r="AU7" s="616"/>
      <c r="AV7" s="616"/>
      <c r="AW7" s="616"/>
      <c r="AX7" s="616"/>
      <c r="AY7" s="616"/>
      <c r="AZ7" s="616"/>
      <c r="BA7" s="616"/>
      <c r="BB7" s="616"/>
    </row>
    <row r="8" spans="1:54" ht="15.75" x14ac:dyDescent="0.25">
      <c r="A8" s="620" t="s">
        <v>307</v>
      </c>
      <c r="B8" s="621">
        <v>2016</v>
      </c>
      <c r="C8" s="621">
        <v>2017</v>
      </c>
      <c r="D8" s="622" t="s">
        <v>89</v>
      </c>
      <c r="E8" s="621">
        <v>2016</v>
      </c>
      <c r="F8" s="621">
        <v>2017</v>
      </c>
      <c r="G8" s="622" t="s">
        <v>89</v>
      </c>
      <c r="H8" s="621">
        <v>2016</v>
      </c>
      <c r="I8" s="621">
        <v>2017</v>
      </c>
      <c r="J8" s="622" t="s">
        <v>89</v>
      </c>
      <c r="K8" s="621">
        <v>2016</v>
      </c>
      <c r="L8" s="621">
        <v>2017</v>
      </c>
      <c r="M8" s="622" t="s">
        <v>89</v>
      </c>
      <c r="N8" s="621">
        <v>2016</v>
      </c>
      <c r="O8" s="621">
        <v>2017</v>
      </c>
      <c r="P8" s="622" t="s">
        <v>89</v>
      </c>
      <c r="Q8" s="621">
        <v>2016</v>
      </c>
      <c r="R8" s="621">
        <v>2017</v>
      </c>
      <c r="S8" s="622" t="s">
        <v>89</v>
      </c>
      <c r="T8" s="621">
        <v>2016</v>
      </c>
      <c r="U8" s="621">
        <v>2017</v>
      </c>
      <c r="V8" s="622" t="s">
        <v>89</v>
      </c>
      <c r="W8" s="621">
        <v>2016</v>
      </c>
      <c r="X8" s="621">
        <v>2017</v>
      </c>
      <c r="Y8" s="622" t="s">
        <v>89</v>
      </c>
      <c r="Z8" s="621">
        <v>2016</v>
      </c>
      <c r="AA8" s="621">
        <v>2017</v>
      </c>
      <c r="AB8" s="622" t="s">
        <v>89</v>
      </c>
      <c r="AC8" s="621">
        <v>2016</v>
      </c>
      <c r="AD8" s="621">
        <v>2017</v>
      </c>
      <c r="AE8" s="622" t="s">
        <v>89</v>
      </c>
      <c r="AF8" s="621">
        <v>2016</v>
      </c>
      <c r="AG8" s="621">
        <v>2017</v>
      </c>
      <c r="AH8" s="622" t="s">
        <v>89</v>
      </c>
      <c r="AI8" s="621">
        <v>2016</v>
      </c>
      <c r="AJ8" s="621">
        <v>2017</v>
      </c>
      <c r="AK8" s="622" t="s">
        <v>89</v>
      </c>
      <c r="AL8" s="615"/>
      <c r="AM8" s="623"/>
      <c r="AN8" s="624"/>
      <c r="AO8" s="624"/>
      <c r="AP8" s="623"/>
      <c r="AQ8" s="624"/>
      <c r="AR8" s="624"/>
      <c r="AS8" s="623"/>
      <c r="AT8" s="624"/>
      <c r="AU8" s="624"/>
      <c r="AV8" s="623"/>
      <c r="AW8" s="624"/>
      <c r="AX8" s="624"/>
      <c r="AY8" s="623"/>
      <c r="AZ8" s="624"/>
      <c r="BA8" s="624"/>
      <c r="BB8" s="623"/>
    </row>
    <row r="9" spans="1:54" ht="18.75" x14ac:dyDescent="0.3">
      <c r="A9" s="625"/>
      <c r="B9" s="626"/>
      <c r="C9" s="627"/>
      <c r="D9" s="626"/>
      <c r="E9" s="626"/>
      <c r="F9" s="627"/>
      <c r="G9" s="626"/>
      <c r="H9" s="628"/>
      <c r="I9" s="627"/>
      <c r="J9" s="626"/>
      <c r="K9" s="629"/>
      <c r="L9" s="630"/>
      <c r="M9" s="626"/>
      <c r="N9" s="631"/>
      <c r="O9" s="627"/>
      <c r="P9" s="626"/>
      <c r="Q9" s="629"/>
      <c r="R9" s="630"/>
      <c r="S9" s="626"/>
      <c r="T9" s="629"/>
      <c r="U9" s="630"/>
      <c r="V9" s="626"/>
      <c r="W9" s="626"/>
      <c r="X9" s="627"/>
      <c r="Y9" s="626"/>
      <c r="Z9" s="626"/>
      <c r="AA9" s="627"/>
      <c r="AB9" s="626"/>
      <c r="AC9" s="626"/>
      <c r="AD9" s="627"/>
      <c r="AE9" s="626"/>
      <c r="AF9" s="631"/>
      <c r="AG9" s="627"/>
      <c r="AH9" s="626"/>
      <c r="AI9" s="626"/>
      <c r="AJ9" s="627"/>
      <c r="AK9" s="627"/>
      <c r="AL9" s="632"/>
      <c r="AM9" s="632"/>
      <c r="AN9" s="633"/>
      <c r="AO9" s="633"/>
      <c r="AP9" s="633"/>
      <c r="AQ9" s="633"/>
      <c r="AR9" s="633"/>
      <c r="AS9" s="633"/>
      <c r="AT9" s="633"/>
      <c r="AU9" s="633"/>
      <c r="AV9" s="633"/>
      <c r="AW9" s="633"/>
      <c r="AX9" s="633"/>
      <c r="AY9" s="633"/>
      <c r="AZ9" s="633"/>
      <c r="BA9" s="633"/>
      <c r="BB9" s="633"/>
    </row>
    <row r="10" spans="1:54" ht="18.75" x14ac:dyDescent="0.3">
      <c r="A10" s="634" t="s">
        <v>355</v>
      </c>
      <c r="B10" s="626"/>
      <c r="C10" s="635"/>
      <c r="D10" s="626"/>
      <c r="E10" s="626"/>
      <c r="F10" s="627"/>
      <c r="G10" s="626"/>
      <c r="H10" s="628"/>
      <c r="I10" s="627"/>
      <c r="J10" s="626"/>
      <c r="K10" s="629"/>
      <c r="L10" s="630"/>
      <c r="M10" s="626"/>
      <c r="N10" s="626"/>
      <c r="O10" s="627"/>
      <c r="P10" s="626"/>
      <c r="Q10" s="629"/>
      <c r="R10" s="630"/>
      <c r="S10" s="626"/>
      <c r="T10" s="629"/>
      <c r="U10" s="630"/>
      <c r="V10" s="626"/>
      <c r="W10" s="629"/>
      <c r="X10" s="630"/>
      <c r="Y10" s="626"/>
      <c r="Z10" s="629"/>
      <c r="AA10" s="630"/>
      <c r="AB10" s="626"/>
      <c r="AC10" s="629"/>
      <c r="AD10" s="630"/>
      <c r="AE10" s="626"/>
      <c r="AF10" s="629"/>
      <c r="AG10" s="630"/>
      <c r="AH10" s="626"/>
      <c r="AI10" s="636"/>
      <c r="AJ10" s="637"/>
      <c r="AK10" s="627"/>
      <c r="AL10" s="638"/>
      <c r="AM10" s="638"/>
      <c r="AN10" s="639"/>
      <c r="AO10" s="639"/>
      <c r="AP10" s="639"/>
      <c r="AQ10" s="639"/>
      <c r="AR10" s="639"/>
      <c r="AS10" s="639"/>
      <c r="AT10" s="639"/>
      <c r="AU10" s="639"/>
      <c r="AV10" s="639"/>
      <c r="AW10" s="639"/>
      <c r="AX10" s="639"/>
      <c r="AY10" s="639"/>
      <c r="AZ10" s="639"/>
      <c r="BA10" s="639"/>
      <c r="BB10" s="639"/>
    </row>
    <row r="11" spans="1:54" ht="22.5" x14ac:dyDescent="0.3">
      <c r="A11" s="634" t="s">
        <v>364</v>
      </c>
      <c r="B11" s="626">
        <v>1.1599999999999999</v>
      </c>
      <c r="C11" s="635">
        <v>1.44</v>
      </c>
      <c r="D11" s="636">
        <f>IF(B11=0, "    ---- ", IF(ABS(ROUND(100/B11*C11-100,1))&lt;999,ROUND(100/B11*C11-100,1),IF(ROUND(100/B11*C11-100,1)&gt;999,999,-999)))</f>
        <v>24.1</v>
      </c>
      <c r="E11" s="626">
        <v>3.1086999999999998</v>
      </c>
      <c r="F11" s="627">
        <v>3.7810999999999999</v>
      </c>
      <c r="G11" s="636">
        <f>IF(E11=0, "    ---- ", IF(ABS(ROUND(100/E11*F11-100,1))&lt;999,ROUND(100/E11*F11-100,1),IF(ROUND(100/E11*F11-100,1)&gt;999,999,-999)))</f>
        <v>21.6</v>
      </c>
      <c r="H11" s="628"/>
      <c r="I11" s="627"/>
      <c r="J11" s="636"/>
      <c r="K11" s="629">
        <v>3.0459999999999998</v>
      </c>
      <c r="L11" s="630">
        <v>2.794</v>
      </c>
      <c r="M11" s="636">
        <f>IF(K11=0, "    ---- ", IF(ABS(ROUND(100/K11*L11-100,1))&lt;999,ROUND(100/K11*L11-100,1),IF(ROUND(100/K11*L11-100,1)&gt;999,999,-999)))</f>
        <v>-8.3000000000000007</v>
      </c>
      <c r="N11" s="626">
        <v>3.54</v>
      </c>
      <c r="O11" s="627">
        <v>3.05</v>
      </c>
      <c r="P11" s="636">
        <f>IF(N11=0, "    ---- ", IF(ABS(ROUND(100/N11*O11-100,1))&lt;999,ROUND(100/N11*O11-100,1),IF(ROUND(100/N11*O11-100,1)&gt;999,999,-999)))</f>
        <v>-13.8</v>
      </c>
      <c r="Q11" s="629">
        <v>3.3</v>
      </c>
      <c r="R11" s="630">
        <v>3.28</v>
      </c>
      <c r="S11" s="636">
        <f>IF(Q11=0, "    ---- ", IF(ABS(ROUND(100/Q11*R11-100,1))&lt;999,ROUND(100/Q11*R11-100,1),IF(ROUND(100/Q11*R11-100,1)&gt;999,999,-999)))</f>
        <v>-0.6</v>
      </c>
      <c r="T11" s="629">
        <v>2.5</v>
      </c>
      <c r="U11" s="630">
        <v>3.5</v>
      </c>
      <c r="V11" s="636">
        <f>IF(T11=0, "    ---- ", IF(ABS(ROUND(100/T11*U11-100,1))&lt;999,ROUND(100/T11*U11-100,1),IF(ROUND(100/T11*U11-100,1)&gt;999,999,-999)))</f>
        <v>40</v>
      </c>
      <c r="W11" s="629">
        <v>4.05</v>
      </c>
      <c r="X11" s="630">
        <v>6.29</v>
      </c>
      <c r="Y11" s="636">
        <f>IF(W11=0, "    ---- ", IF(ABS(ROUND(100/W11*X11-100,1))&lt;999,ROUND(100/W11*X11-100,1),IF(ROUND(100/W11*X11-100,1)&gt;999,999,-999)))</f>
        <v>55.3</v>
      </c>
      <c r="Z11" s="629">
        <v>3.01</v>
      </c>
      <c r="AA11" s="630"/>
      <c r="AB11" s="636"/>
      <c r="AC11" s="629">
        <v>3.12507378839801</v>
      </c>
      <c r="AD11" s="630">
        <v>3.45555400409039</v>
      </c>
      <c r="AE11" s="636">
        <f>IF(AC11=0, "    ---- ", IF(ABS(ROUND(100/AC11*AD11-100,1))&lt;999,ROUND(100/AC11*AD11-100,1),IF(ROUND(100/AC11*AD11-100,1)&gt;999,999,-999)))</f>
        <v>10.6</v>
      </c>
      <c r="AF11" s="629">
        <v>4.62</v>
      </c>
      <c r="AG11" s="630">
        <v>4.49</v>
      </c>
      <c r="AH11" s="636">
        <f>IF(AF11=0, "    ---- ", IF(ABS(ROUND(100/AF11*AG11-100,1))&lt;999,ROUND(100/AF11*AG11-100,1),IF(ROUND(100/AF11*AG11-100,1)&gt;999,999,-999)))</f>
        <v>-2.8</v>
      </c>
      <c r="AI11" s="636"/>
      <c r="AJ11" s="637"/>
      <c r="AK11" s="637"/>
      <c r="AL11" s="638"/>
      <c r="AM11" s="638"/>
      <c r="AN11" s="639"/>
      <c r="AO11" s="639"/>
      <c r="AP11" s="639"/>
      <c r="AQ11" s="639"/>
      <c r="AR11" s="639"/>
      <c r="AS11" s="639"/>
      <c r="AT11" s="639"/>
      <c r="AU11" s="639"/>
      <c r="AV11" s="639"/>
      <c r="AW11" s="639"/>
      <c r="AX11" s="639"/>
      <c r="AY11" s="639"/>
      <c r="AZ11" s="639"/>
      <c r="BA11" s="639"/>
      <c r="BB11" s="639"/>
    </row>
    <row r="12" spans="1:54" ht="18.75" x14ac:dyDescent="0.3">
      <c r="A12" s="634" t="s">
        <v>365</v>
      </c>
      <c r="B12" s="626">
        <v>3.71</v>
      </c>
      <c r="C12" s="635">
        <v>3.29</v>
      </c>
      <c r="D12" s="636">
        <f>IF(B12=0, "    ---- ", IF(ABS(ROUND(100/B12*C12-100,1))&lt;999,ROUND(100/B12*C12-100,1),IF(ROUND(100/B12*C12-100,1)&gt;999,999,-999)))</f>
        <v>-11.3</v>
      </c>
      <c r="E12" s="626">
        <v>3.2501000000000002</v>
      </c>
      <c r="F12" s="627">
        <v>3.8388</v>
      </c>
      <c r="G12" s="636">
        <f>IF(E12=0, "    ---- ", IF(ABS(ROUND(100/E12*F12-100,1))&lt;999,ROUND(100/E12*F12-100,1),IF(ROUND(100/E12*F12-100,1)&gt;999,999,-999)))</f>
        <v>18.100000000000001</v>
      </c>
      <c r="H12" s="628"/>
      <c r="I12" s="627"/>
      <c r="J12" s="636"/>
      <c r="K12" s="629">
        <v>3.673</v>
      </c>
      <c r="L12" s="630">
        <v>3.3380000000000001</v>
      </c>
      <c r="M12" s="636">
        <f>IF(K12=0, "    ---- ", IF(ABS(ROUND(100/K12*L12-100,1))&lt;999,ROUND(100/K12*L12-100,1),IF(ROUND(100/K12*L12-100,1)&gt;999,999,-999)))</f>
        <v>-9.1</v>
      </c>
      <c r="N12" s="626">
        <v>4.41</v>
      </c>
      <c r="O12" s="627">
        <v>4.5599999999999996</v>
      </c>
      <c r="P12" s="636">
        <f>IF(N12=0, "    ---- ", IF(ABS(ROUND(100/N12*O12-100,1))&lt;999,ROUND(100/N12*O12-100,1),IF(ROUND(100/N12*O12-100,1)&gt;999,999,-999)))</f>
        <v>3.4</v>
      </c>
      <c r="Q12" s="629">
        <v>4.4000000000000004</v>
      </c>
      <c r="R12" s="630">
        <v>3.71</v>
      </c>
      <c r="S12" s="636">
        <f>IF(Q12=0, "    ---- ", IF(ABS(ROUND(100/Q12*R12-100,1))&lt;999,ROUND(100/Q12*R12-100,1),IF(ROUND(100/Q12*R12-100,1)&gt;999,999,-999)))</f>
        <v>-15.7</v>
      </c>
      <c r="T12" s="629">
        <v>2.4</v>
      </c>
      <c r="U12" s="630">
        <v>3.8</v>
      </c>
      <c r="V12" s="636">
        <f>IF(T12=0, "    ---- ", IF(ABS(ROUND(100/T12*U12-100,1))&lt;999,ROUND(100/T12*U12-100,1),IF(ROUND(100/T12*U12-100,1)&gt;999,999,-999)))</f>
        <v>58.3</v>
      </c>
      <c r="W12" s="629">
        <v>3.85</v>
      </c>
      <c r="X12" s="630">
        <v>6.82</v>
      </c>
      <c r="Y12" s="636">
        <f>IF(W12=0, "    ---- ", IF(ABS(ROUND(100/W12*X12-100,1))&lt;999,ROUND(100/W12*X12-100,1),IF(ROUND(100/W12*X12-100,1)&gt;999,999,-999)))</f>
        <v>77.099999999999994</v>
      </c>
      <c r="Z12" s="629">
        <v>4.07</v>
      </c>
      <c r="AA12" s="630"/>
      <c r="AB12" s="636"/>
      <c r="AC12" s="629">
        <v>3.6054814057829798</v>
      </c>
      <c r="AD12" s="630">
        <v>4.6832606572801998</v>
      </c>
      <c r="AE12" s="636">
        <f>IF(AC12=0, "    ---- ", IF(ABS(ROUND(100/AC12*AD12-100,1))&lt;999,ROUND(100/AC12*AD12-100,1),IF(ROUND(100/AC12*AD12-100,1)&gt;999,999,-999)))</f>
        <v>29.9</v>
      </c>
      <c r="AF12" s="629">
        <v>4.33</v>
      </c>
      <c r="AG12" s="630">
        <v>4.0999999999999996</v>
      </c>
      <c r="AH12" s="636">
        <f>IF(AF12=0, "    ---- ", IF(ABS(ROUND(100/AF12*AG12-100,1))&lt;999,ROUND(100/AF12*AG12-100,1),IF(ROUND(100/AF12*AG12-100,1)&gt;999,999,-999)))</f>
        <v>-5.3</v>
      </c>
      <c r="AI12" s="636"/>
      <c r="AJ12" s="637"/>
      <c r="AK12" s="637"/>
      <c r="AL12" s="638"/>
      <c r="AM12" s="638"/>
      <c r="AN12" s="639"/>
      <c r="AO12" s="639"/>
      <c r="AP12" s="639"/>
      <c r="AQ12" s="639"/>
      <c r="AR12" s="639"/>
      <c r="AS12" s="639"/>
      <c r="AT12" s="639"/>
      <c r="AU12" s="639"/>
      <c r="AV12" s="639"/>
      <c r="AW12" s="639"/>
      <c r="AX12" s="639"/>
      <c r="AY12" s="639"/>
      <c r="AZ12" s="639"/>
      <c r="BA12" s="639"/>
      <c r="BB12" s="639"/>
    </row>
    <row r="13" spans="1:54" ht="18.75" x14ac:dyDescent="0.3">
      <c r="A13" s="634"/>
      <c r="B13" s="626"/>
      <c r="C13" s="635"/>
      <c r="D13" s="626"/>
      <c r="E13" s="626"/>
      <c r="F13" s="627"/>
      <c r="G13" s="626"/>
      <c r="H13" s="628"/>
      <c r="I13" s="627"/>
      <c r="J13" s="626"/>
      <c r="K13" s="629"/>
      <c r="L13" s="630"/>
      <c r="M13" s="626"/>
      <c r="N13" s="626"/>
      <c r="O13" s="627"/>
      <c r="P13" s="626"/>
      <c r="Q13" s="629"/>
      <c r="R13" s="630"/>
      <c r="S13" s="626"/>
      <c r="T13" s="629"/>
      <c r="U13" s="630"/>
      <c r="V13" s="626"/>
      <c r="W13" s="629"/>
      <c r="X13" s="630"/>
      <c r="Y13" s="626"/>
      <c r="Z13" s="629"/>
      <c r="AA13" s="630"/>
      <c r="AB13" s="626"/>
      <c r="AC13" s="629"/>
      <c r="AD13" s="630"/>
      <c r="AE13" s="626"/>
      <c r="AF13" s="629"/>
      <c r="AG13" s="630"/>
      <c r="AH13" s="626"/>
      <c r="AI13" s="636"/>
      <c r="AJ13" s="637"/>
      <c r="AK13" s="627"/>
      <c r="AL13" s="638"/>
      <c r="AM13" s="638"/>
      <c r="AN13" s="639"/>
      <c r="AO13" s="639"/>
      <c r="AP13" s="639"/>
      <c r="AQ13" s="639"/>
      <c r="AR13" s="639"/>
      <c r="AS13" s="639"/>
      <c r="AT13" s="639"/>
      <c r="AU13" s="639"/>
      <c r="AV13" s="639"/>
      <c r="AW13" s="639"/>
      <c r="AX13" s="639"/>
      <c r="AY13" s="639"/>
      <c r="AZ13" s="639"/>
      <c r="BA13" s="639"/>
      <c r="BB13" s="639"/>
    </row>
    <row r="14" spans="1:54" ht="18.75" x14ac:dyDescent="0.3">
      <c r="A14" s="634" t="s">
        <v>366</v>
      </c>
      <c r="B14" s="626"/>
      <c r="C14" s="627"/>
      <c r="D14" s="636"/>
      <c r="E14" s="626">
        <v>24.16</v>
      </c>
      <c r="F14" s="627">
        <v>24.71</v>
      </c>
      <c r="G14" s="636">
        <f>IF(E14=0, "    ---- ", IF(ABS(ROUND(100/E14*F14-100,1))&lt;999,ROUND(100/E14*F14-100,1),IF(ROUND(100/E14*F14-100,1)&gt;999,999,-999)))</f>
        <v>2.2999999999999998</v>
      </c>
      <c r="H14" s="628">
        <v>37.200000000000003</v>
      </c>
      <c r="I14" s="627">
        <v>34.4</v>
      </c>
      <c r="J14" s="636">
        <f>IF(H14=0, "    ---- ", IF(ABS(ROUND(100/H14*I14-100,1))&lt;999,ROUND(100/H14*I14-100,1),IF(ROUND(100/H14*I14-100,1)&gt;999,999,-999)))</f>
        <v>-7.5</v>
      </c>
      <c r="K14" s="629">
        <v>21.45</v>
      </c>
      <c r="L14" s="630">
        <v>20.41</v>
      </c>
      <c r="M14" s="636">
        <f>IF(K14=0, "    ---- ", IF(ABS(ROUND(100/K14*L14-100,1))&lt;999,ROUND(100/K14*L14-100,1),IF(ROUND(100/K14*L14-100,1)&gt;999,999,-999)))</f>
        <v>-4.8</v>
      </c>
      <c r="N14" s="626">
        <v>26.54</v>
      </c>
      <c r="O14" s="627">
        <v>28.07</v>
      </c>
      <c r="P14" s="636">
        <f>IF(N14=0, "    ---- ", IF(ABS(ROUND(100/N14*O14-100,1))&lt;999,ROUND(100/N14*O14-100,1),IF(ROUND(100/N14*O14-100,1)&gt;999,999,-999)))</f>
        <v>5.8</v>
      </c>
      <c r="Q14" s="629">
        <v>36.4</v>
      </c>
      <c r="R14" s="630">
        <v>47.7</v>
      </c>
      <c r="S14" s="636">
        <f>IF(Q14=0, "    ---- ", IF(ABS(ROUND(100/Q14*R14-100,1))&lt;999,ROUND(100/Q14*R14-100,1),IF(ROUND(100/Q14*R14-100,1)&gt;999,999,-999)))</f>
        <v>31</v>
      </c>
      <c r="T14" s="629">
        <v>29.5</v>
      </c>
      <c r="U14" s="630">
        <v>30.8</v>
      </c>
      <c r="V14" s="636">
        <f>IF(T14=0, "    ---- ", IF(ABS(ROUND(100/T14*U14-100,1))&lt;999,ROUND(100/T14*U14-100,1),IF(ROUND(100/T14*U14-100,1)&gt;999,999,-999)))</f>
        <v>4.4000000000000004</v>
      </c>
      <c r="W14" s="629">
        <v>38.033252569136941</v>
      </c>
      <c r="X14" s="630">
        <v>44.398212608878673</v>
      </c>
      <c r="Y14" s="636">
        <f>IF(W14=0, "    ---- ", IF(ABS(ROUND(100/W14*X14-100,1))&lt;999,ROUND(100/W14*X14-100,1),IF(ROUND(100/W14*X14-100,1)&gt;999,999,-999)))</f>
        <v>16.7</v>
      </c>
      <c r="Z14" s="629">
        <v>10.34</v>
      </c>
      <c r="AA14" s="630"/>
      <c r="AB14" s="636"/>
      <c r="AC14" s="629">
        <v>33.752131230357534</v>
      </c>
      <c r="AD14" s="630">
        <v>37.592780882096754</v>
      </c>
      <c r="AE14" s="636">
        <f>IF(AC14=0, "    ---- ", IF(ABS(ROUND(100/AC14*AD14-100,1))&lt;999,ROUND(100/AC14*AD14-100,1),IF(ROUND(100/AC14*AD14-100,1)&gt;999,999,-999)))</f>
        <v>11.4</v>
      </c>
      <c r="AF14" s="629">
        <v>24.4</v>
      </c>
      <c r="AG14" s="630">
        <v>24.8</v>
      </c>
      <c r="AH14" s="636">
        <f>IF(AF14=0, "    ---- ", IF(ABS(ROUND(100/AF14*AG14-100,1))&lt;999,ROUND(100/AF14*AG14-100,1),IF(ROUND(100/AF14*AG14-100,1)&gt;999,999,-999)))</f>
        <v>1.6</v>
      </c>
      <c r="AI14" s="636"/>
      <c r="AJ14" s="637"/>
      <c r="AK14" s="637"/>
      <c r="AL14" s="638"/>
      <c r="AM14" s="638"/>
      <c r="AN14" s="639"/>
      <c r="AO14" s="639"/>
      <c r="AP14" s="639"/>
      <c r="AQ14" s="639"/>
      <c r="AR14" s="639"/>
      <c r="AS14" s="639"/>
      <c r="AT14" s="639"/>
      <c r="AU14" s="639"/>
      <c r="AV14" s="639"/>
      <c r="AW14" s="639"/>
      <c r="AX14" s="639"/>
      <c r="AY14" s="639"/>
      <c r="AZ14" s="639"/>
      <c r="BA14" s="639"/>
      <c r="BB14" s="639"/>
    </row>
    <row r="15" spans="1:54" ht="18.75" x14ac:dyDescent="0.3">
      <c r="A15" s="634"/>
      <c r="B15" s="626"/>
      <c r="C15" s="635"/>
      <c r="D15" s="626"/>
      <c r="E15" s="626"/>
      <c r="F15" s="627"/>
      <c r="G15" s="626"/>
      <c r="H15" s="628"/>
      <c r="I15" s="627"/>
      <c r="J15" s="626"/>
      <c r="K15" s="629"/>
      <c r="L15" s="630"/>
      <c r="M15" s="626"/>
      <c r="N15" s="626"/>
      <c r="O15" s="627"/>
      <c r="P15" s="626"/>
      <c r="Q15" s="629"/>
      <c r="R15" s="630"/>
      <c r="S15" s="626"/>
      <c r="T15" s="629"/>
      <c r="U15" s="630"/>
      <c r="V15" s="626"/>
      <c r="W15" s="629"/>
      <c r="X15" s="630"/>
      <c r="Y15" s="626"/>
      <c r="Z15" s="629"/>
      <c r="AA15" s="630"/>
      <c r="AB15" s="626"/>
      <c r="AC15" s="629"/>
      <c r="AD15" s="630"/>
      <c r="AE15" s="626"/>
      <c r="AF15" s="629"/>
      <c r="AG15" s="630"/>
      <c r="AH15" s="626"/>
      <c r="AI15" s="636"/>
      <c r="AJ15" s="637"/>
      <c r="AK15" s="627"/>
      <c r="AL15" s="638"/>
      <c r="AM15" s="638"/>
    </row>
    <row r="16" spans="1:54" ht="18.75" x14ac:dyDescent="0.3">
      <c r="A16" s="634" t="s">
        <v>367</v>
      </c>
      <c r="B16" s="636">
        <v>32.707999999999998</v>
      </c>
      <c r="C16" s="640">
        <v>38.558</v>
      </c>
      <c r="D16" s="636">
        <f>IF(B16=0, "    ---- ", IF(ABS(ROUND(100/B16*C16-100,1))&lt;999,ROUND(100/B16*C16-100,1),IF(ROUND(100/B16*C16-100,1)&gt;999,999,-999)))</f>
        <v>17.899999999999999</v>
      </c>
      <c r="E16" s="636">
        <v>2657.4</v>
      </c>
      <c r="F16" s="637">
        <v>2655.4110000000001</v>
      </c>
      <c r="G16" s="636">
        <f>IF(E16=0, "    ---- ", IF(ABS(ROUND(100/E16*F16-100,1))&lt;999,ROUND(100/E16*F16-100,1),IF(ROUND(100/E16*F16-100,1)&gt;999,999,-999)))</f>
        <v>-0.1</v>
      </c>
      <c r="H16" s="641"/>
      <c r="I16" s="637"/>
      <c r="J16" s="636"/>
      <c r="K16" s="642">
        <v>16.189</v>
      </c>
      <c r="L16" s="643">
        <v>54.460999999999999</v>
      </c>
      <c r="M16" s="636">
        <f>IF(K16=0, "    ---- ", IF(ABS(ROUND(100/K16*L16-100,1))&lt;999,ROUND(100/K16*L16-100,1),IF(ROUND(100/K16*L16-100,1)&gt;999,999,-999)))</f>
        <v>236.4</v>
      </c>
      <c r="N16" s="636">
        <v>26001.129846</v>
      </c>
      <c r="O16" s="637">
        <v>36078.932245999997</v>
      </c>
      <c r="P16" s="636">
        <f>IF(N16=0, "    ---- ", IF(ABS(ROUND(100/N16*O16-100,1))&lt;999,ROUND(100/N16*O16-100,1),IF(ROUND(100/N16*O16-100,1)&gt;999,999,-999)))</f>
        <v>38.799999999999997</v>
      </c>
      <c r="Q16" s="642">
        <v>75</v>
      </c>
      <c r="R16" s="643">
        <v>76</v>
      </c>
      <c r="S16" s="636">
        <f>IF(Q16=0, "    ---- ", IF(ABS(ROUND(100/Q16*R16-100,1))&lt;999,ROUND(100/Q16*R16-100,1),IF(ROUND(100/Q16*R16-100,1)&gt;999,999,-999)))</f>
        <v>1.3</v>
      </c>
      <c r="T16" s="642">
        <v>837</v>
      </c>
      <c r="U16" s="643">
        <v>1289</v>
      </c>
      <c r="V16" s="636">
        <f>IF(T16=0, "    ---- ", IF(ABS(ROUND(100/T16*U16-100,1))&lt;999,ROUND(100/T16*U16-100,1),IF(ROUND(100/T16*U16-100,1)&gt;999,999,-999)))</f>
        <v>54</v>
      </c>
      <c r="W16" s="642">
        <v>9576</v>
      </c>
      <c r="X16" s="643">
        <v>10251</v>
      </c>
      <c r="Y16" s="636">
        <f>IF(W16=0, "    ---- ", IF(ABS(ROUND(100/W16*X16-100,1))&lt;999,ROUND(100/W16*X16-100,1),IF(ROUND(100/W16*X16-100,1)&gt;999,999,-999)))</f>
        <v>7</v>
      </c>
      <c r="Z16" s="642">
        <v>269.48528476000001</v>
      </c>
      <c r="AA16" s="643"/>
      <c r="AB16" s="636"/>
      <c r="AC16" s="642">
        <v>1810.5060000000001</v>
      </c>
      <c r="AD16" s="643">
        <v>2146.163</v>
      </c>
      <c r="AE16" s="636">
        <f>IF(AC16=0, "    ---- ", IF(ABS(ROUND(100/AC16*AD16-100,1))&lt;999,ROUND(100/AC16*AD16-100,1),IF(ROUND(100/AC16*AD16-100,1)&gt;999,999,-999)))</f>
        <v>18.5</v>
      </c>
      <c r="AF16" s="642">
        <v>4220</v>
      </c>
      <c r="AG16" s="643">
        <v>2104</v>
      </c>
      <c r="AH16" s="636">
        <f>IF(AF16=0, "    ---- ", IF(ABS(ROUND(100/AF16*AG16-100,1))&lt;999,ROUND(100/AF16*AG16-100,1),IF(ROUND(100/AF16*AG16-100,1)&gt;999,999,-999)))</f>
        <v>-50.1</v>
      </c>
      <c r="AI16" s="636">
        <f>B16+E16+H16+K16+N16+Q16+T16+W16+Z16+AC16+AF16</f>
        <v>45495.418130760001</v>
      </c>
      <c r="AJ16" s="637">
        <f>C16+F16+I16+L16+O16+R16+U16+X16+AA16+AD16+AG16</f>
        <v>54693.525245999997</v>
      </c>
      <c r="AK16" s="636">
        <f>IF(AI16=0, "    ---- ", IF(ABS(ROUND(100/AI16*AJ16-100,1))&lt;999,ROUND(100/AI16*AJ16-100,1),IF(ROUND(100/AI16*AJ16-100,1)&gt;999,999,-999)))</f>
        <v>20.2</v>
      </c>
      <c r="AL16" s="638"/>
      <c r="AM16" s="638"/>
    </row>
    <row r="17" spans="1:39" ht="18.75" x14ac:dyDescent="0.3">
      <c r="A17" s="634"/>
      <c r="B17" s="636"/>
      <c r="C17" s="640"/>
      <c r="D17" s="636"/>
      <c r="E17" s="636"/>
      <c r="F17" s="637"/>
      <c r="G17" s="636"/>
      <c r="H17" s="641"/>
      <c r="I17" s="637"/>
      <c r="J17" s="636"/>
      <c r="K17" s="642"/>
      <c r="L17" s="643"/>
      <c r="M17" s="636"/>
      <c r="N17" s="636"/>
      <c r="O17" s="637"/>
      <c r="P17" s="636"/>
      <c r="Q17" s="642"/>
      <c r="R17" s="643"/>
      <c r="S17" s="636"/>
      <c r="T17" s="642"/>
      <c r="U17" s="643"/>
      <c r="V17" s="636"/>
      <c r="W17" s="642"/>
      <c r="X17" s="643"/>
      <c r="Y17" s="636"/>
      <c r="Z17" s="642"/>
      <c r="AA17" s="643"/>
      <c r="AB17" s="636"/>
      <c r="AC17" s="642"/>
      <c r="AD17" s="643"/>
      <c r="AE17" s="636"/>
      <c r="AF17" s="642"/>
      <c r="AG17" s="643"/>
      <c r="AH17" s="636"/>
      <c r="AI17" s="636"/>
      <c r="AJ17" s="637"/>
      <c r="AK17" s="636"/>
      <c r="AL17" s="638"/>
      <c r="AM17" s="638"/>
    </row>
    <row r="18" spans="1:39" ht="18.75" x14ac:dyDescent="0.3">
      <c r="A18" s="644" t="s">
        <v>368</v>
      </c>
      <c r="B18" s="645"/>
      <c r="C18" s="646"/>
      <c r="D18" s="645"/>
      <c r="E18" s="645">
        <v>114</v>
      </c>
      <c r="F18" s="646">
        <v>8213.0144287000003</v>
      </c>
      <c r="G18" s="645">
        <f>IF(E18=0, "    ---- ", IF(ABS(ROUND(100/E18*F18-100,1))&lt;999,ROUND(100/E18*F18-100,1),IF(ROUND(100/E18*F18-100,1)&gt;999,999,-999)))</f>
        <v>999</v>
      </c>
      <c r="H18" s="647"/>
      <c r="I18" s="646"/>
      <c r="J18" s="645"/>
      <c r="K18" s="648"/>
      <c r="L18" s="649"/>
      <c r="M18" s="645"/>
      <c r="N18" s="645">
        <v>1375</v>
      </c>
      <c r="O18" s="646">
        <v>704</v>
      </c>
      <c r="P18" s="645">
        <f>IF(N18=0, "    ---- ", IF(ABS(ROUND(100/N18*O18-100,1))&lt;999,ROUND(100/N18*O18-100,1),IF(ROUND(100/N18*O18-100,1)&gt;999,999,-999)))</f>
        <v>-48.8</v>
      </c>
      <c r="Q18" s="650">
        <v>79</v>
      </c>
      <c r="R18" s="651">
        <v>61</v>
      </c>
      <c r="S18" s="645">
        <f>IF(Q18=0, "    ---- ", IF(ABS(ROUND(100/Q18*R18-100,1))&lt;999,ROUND(100/Q18*R18-100,1),IF(ROUND(100/Q18*R18-100,1)&gt;999,999,-999)))</f>
        <v>-22.8</v>
      </c>
      <c r="T18" s="650">
        <v>2782</v>
      </c>
      <c r="U18" s="651">
        <v>1860</v>
      </c>
      <c r="V18" s="645">
        <f>IF(T18=0, "    ---- ", IF(ABS(ROUND(100/T18*U18-100,1))&lt;999,ROUND(100/T18*U18-100,1),IF(ROUND(100/T18*U18-100,1)&gt;999,999,-999)))</f>
        <v>-33.1</v>
      </c>
      <c r="W18" s="650">
        <v>1631</v>
      </c>
      <c r="X18" s="651">
        <v>1244</v>
      </c>
      <c r="Y18" s="645">
        <f>IF(W18=0, "    ---- ", IF(ABS(ROUND(100/W18*X18-100,1))&lt;999,ROUND(100/W18*X18-100,1),IF(ROUND(100/W18*X18-100,1)&gt;999,999,-999)))</f>
        <v>-23.7</v>
      </c>
      <c r="Z18" s="650">
        <v>185.59948194999998</v>
      </c>
      <c r="AA18" s="651"/>
      <c r="AB18" s="645"/>
      <c r="AC18" s="650">
        <v>76.432000000000002</v>
      </c>
      <c r="AD18" s="651">
        <v>49.402999999999999</v>
      </c>
      <c r="AE18" s="645">
        <f>IF(AC18=0, "    ---- ", IF(ABS(ROUND(100/AC18*AD18-100,1))&lt;999,ROUND(100/AC18*AD18-100,1),IF(ROUND(100/AC18*AD18-100,1)&gt;999,999,-999)))</f>
        <v>-35.4</v>
      </c>
      <c r="AF18" s="650">
        <v>11562</v>
      </c>
      <c r="AG18" s="651">
        <v>8610</v>
      </c>
      <c r="AH18" s="645">
        <f>IF(AF18=0, "    ---- ", IF(ABS(ROUND(100/AF18*AG18-100,1))&lt;999,ROUND(100/AF18*AG18-100,1),IF(ROUND(100/AF18*AG18-100,1)&gt;999,999,-999)))</f>
        <v>-25.5</v>
      </c>
      <c r="AI18" s="645">
        <f>B18+E18+H18+K18+N18+Q18+T18+W18+Z18+AC18+AF18</f>
        <v>17805.031481949998</v>
      </c>
      <c r="AJ18" s="646">
        <f>C18+F18+I18+L18+O18+R18+U18+X18+AA18+AD18+AG18</f>
        <v>20741.417428699999</v>
      </c>
      <c r="AK18" s="645">
        <f>IF(AI18=0, "    ---- ", IF(ABS(ROUND(100/AI18*AJ18-100,1))&lt;999,ROUND(100/AI18*AJ18-100,1),IF(ROUND(100/AI18*AJ18-100,1)&gt;999,999,-999)))</f>
        <v>16.5</v>
      </c>
      <c r="AL18" s="638"/>
      <c r="AM18" s="638"/>
    </row>
  </sheetData>
  <mergeCells count="32">
    <mergeCell ref="W5:Y5"/>
    <mergeCell ref="B5:D5"/>
    <mergeCell ref="E5:G5"/>
    <mergeCell ref="H5:J5"/>
    <mergeCell ref="K5:M5"/>
    <mergeCell ref="Q5:S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topLeftCell="A2" zoomScale="90" zoomScaleNormal="90" workbookViewId="0"/>
  </sheetViews>
  <sheetFormatPr baseColWidth="10" defaultColWidth="11.42578125" defaultRowHeight="12.75" x14ac:dyDescent="0.2"/>
  <cols>
    <col min="1" max="1" width="66.28515625" style="1" customWidth="1"/>
    <col min="2" max="2" width="4.28515625" style="48"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16"/>
      <c r="D2" s="316"/>
      <c r="E2" s="316"/>
    </row>
    <row r="3" spans="1:17" x14ac:dyDescent="0.2">
      <c r="A3" s="41" t="s">
        <v>52</v>
      </c>
    </row>
    <row r="4" spans="1:17" x14ac:dyDescent="0.2">
      <c r="C4" s="316"/>
      <c r="D4" s="316"/>
      <c r="E4" s="316"/>
      <c r="F4" s="316"/>
      <c r="G4" s="316"/>
      <c r="H4" s="316"/>
      <c r="I4" s="316"/>
      <c r="J4" s="316"/>
      <c r="K4" s="316"/>
    </row>
    <row r="6" spans="1:17" ht="15.75" x14ac:dyDescent="0.25">
      <c r="C6" s="323" t="s">
        <v>16</v>
      </c>
      <c r="D6" s="3"/>
      <c r="E6" s="323"/>
    </row>
    <row r="7" spans="1:17" ht="18.75" customHeight="1" x14ac:dyDescent="0.2">
      <c r="C7" s="3"/>
      <c r="D7" s="3"/>
      <c r="E7" s="48"/>
    </row>
    <row r="8" spans="1:17" ht="15.75" x14ac:dyDescent="0.25">
      <c r="B8" s="317">
        <v>1</v>
      </c>
      <c r="C8" s="318" t="s">
        <v>371</v>
      </c>
      <c r="E8" s="327"/>
    </row>
    <row r="9" spans="1:17" ht="31.5" x14ac:dyDescent="0.2">
      <c r="B9" s="317">
        <v>2</v>
      </c>
      <c r="C9" s="320" t="s">
        <v>294</v>
      </c>
      <c r="E9" s="8"/>
      <c r="Q9" s="3"/>
    </row>
    <row r="10" spans="1:17" ht="47.25" x14ac:dyDescent="0.2">
      <c r="B10" s="317">
        <v>3</v>
      </c>
      <c r="C10" s="318" t="s">
        <v>295</v>
      </c>
      <c r="E10" s="8"/>
    </row>
    <row r="11" spans="1:17" ht="47.25" x14ac:dyDescent="0.2">
      <c r="B11" s="317">
        <v>4</v>
      </c>
      <c r="C11" s="320" t="s">
        <v>296</v>
      </c>
      <c r="E11" s="8"/>
    </row>
    <row r="12" spans="1:17" ht="31.5" x14ac:dyDescent="0.2">
      <c r="B12" s="317">
        <v>5</v>
      </c>
      <c r="C12" s="318" t="s">
        <v>21</v>
      </c>
      <c r="E12" s="3"/>
    </row>
    <row r="13" spans="1:17" ht="15.75" x14ac:dyDescent="0.2">
      <c r="B13" s="317">
        <v>6</v>
      </c>
      <c r="C13" s="318" t="s">
        <v>372</v>
      </c>
      <c r="E13" s="3"/>
    </row>
    <row r="14" spans="1:17" ht="15.75" x14ac:dyDescent="0.2">
      <c r="B14" s="317">
        <v>7</v>
      </c>
      <c r="C14" s="318" t="s">
        <v>17</v>
      </c>
    </row>
    <row r="15" spans="1:17" ht="18.75" customHeight="1" x14ac:dyDescent="0.2">
      <c r="B15" s="317">
        <v>8</v>
      </c>
      <c r="C15" s="318" t="s">
        <v>18</v>
      </c>
    </row>
    <row r="16" spans="1:17" ht="18.75" customHeight="1" x14ac:dyDescent="0.2">
      <c r="B16" s="317">
        <v>9</v>
      </c>
      <c r="C16" s="318" t="s">
        <v>22</v>
      </c>
    </row>
    <row r="17" spans="2:9" ht="15.75" x14ac:dyDescent="0.25">
      <c r="B17" s="317">
        <v>10</v>
      </c>
      <c r="C17" s="318" t="s">
        <v>23</v>
      </c>
      <c r="E17" s="323"/>
    </row>
    <row r="18" spans="2:9" ht="15.75" x14ac:dyDescent="0.2">
      <c r="B18" s="317">
        <v>11</v>
      </c>
      <c r="C18" s="318" t="s">
        <v>19</v>
      </c>
      <c r="E18" s="8"/>
    </row>
    <row r="19" spans="2:9" ht="15.75" x14ac:dyDescent="0.2">
      <c r="B19" s="317">
        <v>12</v>
      </c>
      <c r="C19" s="318" t="s">
        <v>298</v>
      </c>
      <c r="E19" s="8"/>
    </row>
    <row r="20" spans="2:9" ht="15.75" x14ac:dyDescent="0.2">
      <c r="B20" s="317">
        <v>13</v>
      </c>
      <c r="C20" s="318" t="s">
        <v>20</v>
      </c>
      <c r="E20" s="3"/>
    </row>
    <row r="21" spans="2:9" ht="47.25" x14ac:dyDescent="0.2">
      <c r="B21" s="317">
        <v>14</v>
      </c>
      <c r="C21" s="318" t="s">
        <v>299</v>
      </c>
      <c r="E21" s="328"/>
    </row>
    <row r="22" spans="2:9" ht="31.5" x14ac:dyDescent="0.2">
      <c r="B22" s="317">
        <v>15</v>
      </c>
      <c r="C22" s="320" t="s">
        <v>358</v>
      </c>
      <c r="E22" s="3"/>
    </row>
    <row r="23" spans="2:9" ht="15.75" x14ac:dyDescent="0.25">
      <c r="B23" s="317">
        <v>16</v>
      </c>
      <c r="C23" s="322" t="s">
        <v>297</v>
      </c>
      <c r="D23" s="321"/>
      <c r="E23" s="316"/>
      <c r="F23" s="321"/>
      <c r="G23" s="2"/>
      <c r="H23" s="2"/>
      <c r="I23" s="2"/>
    </row>
    <row r="24" spans="2:9" ht="18.75" customHeight="1" x14ac:dyDescent="0.25">
      <c r="B24" s="319">
        <v>17</v>
      </c>
      <c r="C24" s="322" t="s">
        <v>300</v>
      </c>
    </row>
    <row r="25" spans="2:9" ht="18.75" customHeight="1" x14ac:dyDescent="0.25">
      <c r="B25" s="319"/>
      <c r="C25" s="325"/>
    </row>
    <row r="26" spans="2:9" ht="18.75" customHeight="1" x14ac:dyDescent="0.25">
      <c r="B26" s="319"/>
      <c r="C26" s="339"/>
    </row>
    <row r="27" spans="2:9" ht="18.75" customHeight="1" x14ac:dyDescent="0.2">
      <c r="C27" s="325"/>
    </row>
    <row r="28" spans="2:9" ht="18.75" customHeight="1" x14ac:dyDescent="0.2">
      <c r="C28" s="325"/>
    </row>
    <row r="29" spans="2:9" ht="18.75" customHeight="1" x14ac:dyDescent="0.2">
      <c r="C29" s="325"/>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26"/>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16"/>
      <c r="E50" s="316"/>
      <c r="F50" s="316"/>
      <c r="G50" s="316"/>
      <c r="H50" s="316"/>
      <c r="I50" s="316"/>
      <c r="J50" s="316"/>
      <c r="K50" s="316"/>
      <c r="L50" s="316"/>
      <c r="M50" s="316"/>
      <c r="N50" s="316"/>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F111"/>
  <sheetViews>
    <sheetView showGridLines="0" showZeros="0" zoomScale="80" zoomScaleNormal="80" workbookViewId="0">
      <pane ySplit="7" topLeftCell="A44" activePane="bottomLeft" state="frozen"/>
      <selection activeCell="J44" sqref="J44"/>
      <selection pane="bottomLeft" activeCell="B8" sqref="B8"/>
    </sheetView>
  </sheetViews>
  <sheetFormatPr baseColWidth="10" defaultColWidth="11.42578125" defaultRowHeight="12.75" x14ac:dyDescent="0.2"/>
  <cols>
    <col min="1" max="1" width="49" style="85" customWidth="1"/>
    <col min="2" max="3" width="15.7109375" style="85" customWidth="1"/>
    <col min="4" max="4" width="8.7109375" style="85" customWidth="1"/>
    <col min="5" max="5" width="11.140625" style="85" customWidth="1"/>
    <col min="6" max="6" width="4.7109375" style="85" customWidth="1"/>
    <col min="7" max="7" width="18.42578125" style="85" customWidth="1"/>
    <col min="8" max="8" width="17.85546875" style="85" customWidth="1"/>
    <col min="9" max="9" width="8.7109375" style="85" customWidth="1"/>
    <col min="10" max="10" width="12.28515625" style="85" customWidth="1"/>
    <col min="11" max="11" width="13.42578125" style="85" hidden="1" customWidth="1"/>
    <col min="12" max="12" width="14.85546875" style="186" hidden="1" customWidth="1"/>
    <col min="13" max="13" width="13.85546875" style="186" hidden="1" customWidth="1"/>
    <col min="14" max="15" width="15.7109375" style="186" hidden="1" customWidth="1"/>
    <col min="16" max="16" width="11.42578125" style="85" hidden="1" customWidth="1"/>
    <col min="17" max="19" width="11.42578125" style="85" customWidth="1"/>
    <col min="20" max="16384" width="11.42578125" style="85"/>
  </cols>
  <sheetData>
    <row r="1" spans="1:16" ht="20.25" x14ac:dyDescent="0.3">
      <c r="A1" s="78" t="s">
        <v>82</v>
      </c>
      <c r="B1" s="71" t="s">
        <v>53</v>
      </c>
      <c r="C1" s="72"/>
      <c r="D1" s="72"/>
      <c r="E1" s="72"/>
      <c r="F1" s="72"/>
      <c r="G1" s="72"/>
      <c r="H1" s="72"/>
      <c r="I1" s="72"/>
      <c r="J1" s="72"/>
      <c r="K1" s="72"/>
    </row>
    <row r="2" spans="1:16" ht="20.25" x14ac:dyDescent="0.3">
      <c r="A2" s="78" t="s">
        <v>83</v>
      </c>
      <c r="B2" s="72"/>
      <c r="C2" s="72"/>
      <c r="D2" s="72"/>
      <c r="E2" s="72"/>
      <c r="F2" s="72"/>
      <c r="G2" s="72"/>
      <c r="H2" s="72"/>
      <c r="I2" s="72"/>
      <c r="J2" s="72"/>
      <c r="K2" s="72"/>
    </row>
    <row r="3" spans="1:16" ht="18.75" x14ac:dyDescent="0.3">
      <c r="A3" s="671" t="s">
        <v>84</v>
      </c>
      <c r="B3" s="671"/>
      <c r="C3" s="72"/>
      <c r="D3" s="72"/>
      <c r="E3" s="72"/>
      <c r="F3" s="72"/>
      <c r="G3" s="72"/>
      <c r="H3" s="72"/>
      <c r="I3" s="72"/>
      <c r="J3" s="72"/>
      <c r="K3" s="72"/>
    </row>
    <row r="4" spans="1:16" ht="18.75" x14ac:dyDescent="0.3">
      <c r="A4" s="80" t="s">
        <v>389</v>
      </c>
      <c r="B4" s="81"/>
      <c r="C4" s="82"/>
      <c r="D4" s="82"/>
      <c r="E4" s="83"/>
      <c r="F4" s="84"/>
      <c r="G4" s="81"/>
      <c r="H4" s="82"/>
      <c r="I4" s="82"/>
      <c r="J4" s="83"/>
      <c r="K4" s="110"/>
      <c r="L4" s="209"/>
      <c r="M4" s="210"/>
      <c r="N4" s="211"/>
      <c r="O4" s="210"/>
    </row>
    <row r="5" spans="1:16" ht="22.5" x14ac:dyDescent="0.3">
      <c r="A5" s="86"/>
      <c r="B5" s="672" t="s">
        <v>85</v>
      </c>
      <c r="C5" s="673"/>
      <c r="D5" s="673"/>
      <c r="E5" s="674"/>
      <c r="F5" s="88"/>
      <c r="G5" s="672" t="s">
        <v>86</v>
      </c>
      <c r="H5" s="673"/>
      <c r="I5" s="673"/>
      <c r="J5" s="674"/>
      <c r="K5" s="87"/>
      <c r="L5" s="675" t="s">
        <v>151</v>
      </c>
      <c r="M5" s="670"/>
      <c r="N5" s="669" t="s">
        <v>152</v>
      </c>
      <c r="O5" s="670"/>
    </row>
    <row r="6" spans="1:16" ht="18.75" x14ac:dyDescent="0.3">
      <c r="A6" s="89"/>
      <c r="B6" s="90"/>
      <c r="C6" s="91"/>
      <c r="D6" s="91" t="s">
        <v>87</v>
      </c>
      <c r="E6" s="92" t="s">
        <v>30</v>
      </c>
      <c r="F6" s="93"/>
      <c r="G6" s="90"/>
      <c r="H6" s="91"/>
      <c r="I6" s="91" t="s">
        <v>87</v>
      </c>
      <c r="J6" s="92" t="s">
        <v>30</v>
      </c>
      <c r="K6" s="98"/>
      <c r="L6" s="212"/>
      <c r="M6" s="213"/>
      <c r="N6" s="214"/>
      <c r="O6" s="213"/>
    </row>
    <row r="7" spans="1:16" ht="15.75" x14ac:dyDescent="0.25">
      <c r="A7" s="94" t="s">
        <v>88</v>
      </c>
      <c r="B7" s="95">
        <v>2016</v>
      </c>
      <c r="C7" s="95">
        <v>2017</v>
      </c>
      <c r="D7" s="96" t="s">
        <v>89</v>
      </c>
      <c r="E7" s="97" t="s">
        <v>31</v>
      </c>
      <c r="F7" s="93"/>
      <c r="G7" s="95">
        <v>2016</v>
      </c>
      <c r="H7" s="95">
        <v>2017</v>
      </c>
      <c r="I7" s="96" t="s">
        <v>89</v>
      </c>
      <c r="J7" s="97" t="s">
        <v>31</v>
      </c>
      <c r="K7" s="98"/>
      <c r="L7" s="215">
        <v>2015</v>
      </c>
      <c r="M7" s="216">
        <v>2016</v>
      </c>
      <c r="N7" s="217">
        <v>2015</v>
      </c>
      <c r="O7" s="216">
        <v>2016</v>
      </c>
      <c r="P7" s="85" t="s">
        <v>155</v>
      </c>
    </row>
    <row r="8" spans="1:16" ht="18.75" x14ac:dyDescent="0.3">
      <c r="A8" s="99" t="s">
        <v>0</v>
      </c>
      <c r="B8" s="127"/>
      <c r="C8" s="101"/>
      <c r="D8" s="102"/>
      <c r="E8" s="392"/>
      <c r="F8" s="174"/>
      <c r="G8" s="127"/>
      <c r="H8" s="127"/>
      <c r="I8" s="101"/>
      <c r="J8" s="392"/>
      <c r="K8" s="137"/>
      <c r="L8" s="218" t="s">
        <v>0</v>
      </c>
      <c r="M8" s="219"/>
      <c r="N8" s="220"/>
      <c r="O8" s="219"/>
      <c r="P8" s="85" t="s">
        <v>163</v>
      </c>
    </row>
    <row r="9" spans="1:16" ht="18.75" x14ac:dyDescent="0.3">
      <c r="A9" s="191" t="s">
        <v>90</v>
      </c>
      <c r="B9" s="174">
        <f>'ACE European Group'!B7+'ACE European Group'!B22+'ACE European Group'!B34+'ACE European Group'!B45+'ACE European Group'!B64+'ACE European Group'!B132</f>
        <v>0</v>
      </c>
      <c r="C9" s="174">
        <f>'ACE European Group'!C7+'ACE European Group'!C22+'ACE European Group'!C34+'ACE European Group'!C45+'ACE European Group'!C64+'ACE European Group'!C132</f>
        <v>0</v>
      </c>
      <c r="D9" s="102"/>
      <c r="E9" s="392">
        <f>100/C$31*C9</f>
        <v>0</v>
      </c>
      <c r="F9" s="101"/>
      <c r="G9" s="174">
        <f>'ACE European Group'!B10+'ACE European Group'!B28+'ACE European Group'!B35+'ACE European Group'!B85+'ACE European Group'!B133</f>
        <v>0</v>
      </c>
      <c r="H9" s="174">
        <f>'ACE European Group'!C10+'ACE European Group'!C28+'ACE European Group'!C35+'ACE European Group'!C85+'ACE European Group'!C133</f>
        <v>0</v>
      </c>
      <c r="I9" s="102"/>
      <c r="J9" s="392">
        <f>100/H$31*H9</f>
        <v>0</v>
      </c>
      <c r="K9" s="205" t="s">
        <v>159</v>
      </c>
      <c r="L9" s="221">
        <f t="shared" ref="L9:L30" ca="1" si="0">INDIRECT("'" &amp; $A9 &amp; "'!" &amp; $P$7)</f>
        <v>0</v>
      </c>
      <c r="M9" s="219">
        <f t="shared" ref="M9:M30" ca="1" si="1">INDIRECT("'" &amp; $A9 &amp; "'!" &amp; $P$8)</f>
        <v>0</v>
      </c>
      <c r="N9" s="221">
        <f t="shared" ref="N9:N30" ca="1" si="2">INDIRECT("'" &amp; $A9 &amp; "'!" &amp; $P$9)</f>
        <v>0</v>
      </c>
      <c r="O9" s="219">
        <f t="shared" ref="O9:O30" ca="1" si="3">INDIRECT("'" &amp; $A9 &amp; "'!" &amp; $P$10)</f>
        <v>0</v>
      </c>
      <c r="P9" s="85" t="s">
        <v>167</v>
      </c>
    </row>
    <row r="10" spans="1:16" ht="18.75" x14ac:dyDescent="0.3">
      <c r="A10" s="191" t="s">
        <v>91</v>
      </c>
      <c r="B10" s="174">
        <f>'Danica Pensjonsforsikring'!B7+'Danica Pensjonsforsikring'!B22+'Danica Pensjonsforsikring'!B34+'Danica Pensjonsforsikring'!B45+'Danica Pensjonsforsikring'!B64+'Danica Pensjonsforsikring'!B132</f>
        <v>295963.266</v>
      </c>
      <c r="C10" s="174">
        <f>'Danica Pensjonsforsikring'!C7+'Danica Pensjonsforsikring'!C22+'Danica Pensjonsforsikring'!C34+'Danica Pensjonsforsikring'!C45+'Danica Pensjonsforsikring'!C64+'Danica Pensjonsforsikring'!C132</f>
        <v>296945.32299999997</v>
      </c>
      <c r="D10" s="102">
        <f t="shared" ref="D8:D31" si="4">IF(B10=0, "    ---- ", IF(ABS(ROUND(100/B10*C10-100,1))&lt;999,ROUND(100/B10*C10-100,1),IF(ROUND(100/B10*C10-100,1)&gt;999,999,-999)))</f>
        <v>0.3</v>
      </c>
      <c r="E10" s="392">
        <f t="shared" ref="E10:E30" si="5">100/C$31*C10</f>
        <v>0.70644121864826437</v>
      </c>
      <c r="F10" s="101"/>
      <c r="G10" s="174">
        <f>'Danica Pensjonsforsikring'!B10+'Danica Pensjonsforsikring'!B28+'Danica Pensjonsforsikring'!B35+'Danica Pensjonsforsikring'!B85+'Danica Pensjonsforsikring'!B133</f>
        <v>921554.28399999999</v>
      </c>
      <c r="H10" s="174">
        <f>'Danica Pensjonsforsikring'!C10+'Danica Pensjonsforsikring'!C28+'Danica Pensjonsforsikring'!C35+'Danica Pensjonsforsikring'!C85+'Danica Pensjonsforsikring'!C133</f>
        <v>1007145.416</v>
      </c>
      <c r="I10" s="102">
        <f t="shared" ref="I9:I31" si="6">IF(G10=0, "    ---- ", IF(ABS(ROUND(100/G10*H10-100,1))&lt;999,ROUND(100/G10*H10-100,1),IF(ROUND(100/G10*H10-100,1)&gt;999,999,-999)))</f>
        <v>9.3000000000000007</v>
      </c>
      <c r="J10" s="392">
        <f t="shared" ref="J10:J30" si="7">100/H$31*H10</f>
        <v>0.10443313449245487</v>
      </c>
      <c r="K10" s="206" t="s">
        <v>160</v>
      </c>
      <c r="L10" s="221">
        <f t="shared" ca="1" si="0"/>
        <v>0</v>
      </c>
      <c r="M10" s="219">
        <f t="shared" ca="1" si="1"/>
        <v>0</v>
      </c>
      <c r="N10" s="221">
        <f t="shared" ca="1" si="2"/>
        <v>0</v>
      </c>
      <c r="O10" s="219">
        <f t="shared" ca="1" si="3"/>
        <v>0</v>
      </c>
      <c r="P10" s="85" t="s">
        <v>172</v>
      </c>
    </row>
    <row r="11" spans="1:16" ht="18.75" x14ac:dyDescent="0.3">
      <c r="A11" s="191" t="s">
        <v>92</v>
      </c>
      <c r="B11" s="174">
        <f>'DNB Livsforsikring'!B7+'DNB Livsforsikring'!B22+'DNB Livsforsikring'!B34+'DNB Livsforsikring'!B45+'DNB Livsforsikring'!B64+'DNB Livsforsikring'!B132</f>
        <v>5603733</v>
      </c>
      <c r="C11" s="174">
        <f>'DNB Livsforsikring'!C7+'DNB Livsforsikring'!C22+'DNB Livsforsikring'!C34+'DNB Livsforsikring'!C45+'DNB Livsforsikring'!C64+'DNB Livsforsikring'!C132</f>
        <v>3987303.2930000001</v>
      </c>
      <c r="D11" s="102">
        <f t="shared" si="4"/>
        <v>-28.8</v>
      </c>
      <c r="E11" s="392">
        <f t="shared" si="5"/>
        <v>9.4859059202193858</v>
      </c>
      <c r="F11" s="101"/>
      <c r="G11" s="174">
        <f>'DNB Livsforsikring'!B10+'DNB Livsforsikring'!B28+'DNB Livsforsikring'!B35+'DNB Livsforsikring'!B85+'DNB Livsforsikring'!B133</f>
        <v>205209654</v>
      </c>
      <c r="H11" s="174">
        <f>'DNB Livsforsikring'!C10+'DNB Livsforsikring'!C28+'DNB Livsforsikring'!C35+'DNB Livsforsikring'!C85+'DNB Livsforsikring'!C133</f>
        <v>202963024</v>
      </c>
      <c r="I11" s="102">
        <f t="shared" si="6"/>
        <v>-1.1000000000000001</v>
      </c>
      <c r="J11" s="392">
        <f t="shared" si="7"/>
        <v>21.045684610838109</v>
      </c>
      <c r="K11" s="85" t="s">
        <v>153</v>
      </c>
      <c r="L11" s="221">
        <f t="shared" ca="1" si="0"/>
        <v>0</v>
      </c>
      <c r="M11" s="219">
        <f t="shared" ca="1" si="1"/>
        <v>0</v>
      </c>
      <c r="N11" s="221">
        <f t="shared" ca="1" si="2"/>
        <v>0</v>
      </c>
      <c r="O11" s="219">
        <f t="shared" ca="1" si="3"/>
        <v>0</v>
      </c>
    </row>
    <row r="12" spans="1:16" ht="18.75" x14ac:dyDescent="0.3">
      <c r="A12" s="191" t="s">
        <v>93</v>
      </c>
      <c r="B12" s="174">
        <f>'Eika Forsikring AS'!B7+'Eika Forsikring AS'!B22+'Eika Forsikring AS'!B34+'Eika Forsikring AS'!B45+'Eika Forsikring AS'!B64+'Eika Forsikring AS'!B132</f>
        <v>302208</v>
      </c>
      <c r="C12" s="174">
        <f>'Eika Forsikring AS'!C7+'Eika Forsikring AS'!C22+'Eika Forsikring AS'!C34+'Eika Forsikring AS'!C45+'Eika Forsikring AS'!C64+'Eika Forsikring AS'!C132</f>
        <v>210802</v>
      </c>
      <c r="D12" s="102">
        <f t="shared" si="4"/>
        <v>-30.2</v>
      </c>
      <c r="E12" s="392">
        <f t="shared" si="5"/>
        <v>0.5015038467990669</v>
      </c>
      <c r="F12" s="101"/>
      <c r="G12" s="174">
        <f>'Eika Forsikring AS'!B10+'Eika Forsikring AS'!B28+'Eika Forsikring AS'!B35+'Eika Forsikring AS'!B85+'Eika Forsikring AS'!B133</f>
        <v>0</v>
      </c>
      <c r="H12" s="174">
        <f>'Eika Forsikring AS'!C10+'Eika Forsikring AS'!C28+'Eika Forsikring AS'!C35+'Eika Forsikring AS'!C85+'Eika Forsikring AS'!C133</f>
        <v>0</v>
      </c>
      <c r="I12" s="102"/>
      <c r="J12" s="392">
        <f t="shared" si="7"/>
        <v>0</v>
      </c>
      <c r="K12" s="85" t="s">
        <v>161</v>
      </c>
      <c r="L12" s="221">
        <f t="shared" ca="1" si="0"/>
        <v>0</v>
      </c>
      <c r="M12" s="219">
        <f t="shared" ca="1" si="1"/>
        <v>0</v>
      </c>
      <c r="N12" s="221">
        <f t="shared" ca="1" si="2"/>
        <v>0</v>
      </c>
      <c r="O12" s="219">
        <f t="shared" ca="1" si="3"/>
        <v>0</v>
      </c>
    </row>
    <row r="13" spans="1:16" ht="18.75" x14ac:dyDescent="0.3">
      <c r="A13" s="191" t="s">
        <v>94</v>
      </c>
      <c r="B13" s="175">
        <f>'Frende Livsforsikring'!B7+'Frende Livsforsikring'!B22+'Frende Livsforsikring'!B34+'Frende Livsforsikring'!B45+'Frende Livsforsikring'!B64+'Frende Livsforsikring'!B132</f>
        <v>454023</v>
      </c>
      <c r="C13" s="175">
        <f>'Frende Livsforsikring'!C7+'Frende Livsforsikring'!C22+'Frende Livsforsikring'!C34+'Frende Livsforsikring'!C45+'Frende Livsforsikring'!C64+'Frende Livsforsikring'!C132</f>
        <v>492991.8</v>
      </c>
      <c r="D13" s="102">
        <f t="shared" si="4"/>
        <v>8.6</v>
      </c>
      <c r="E13" s="392">
        <f t="shared" si="5"/>
        <v>1.1728412640316326</v>
      </c>
      <c r="F13" s="101"/>
      <c r="G13" s="174">
        <f>'Frende Livsforsikring'!B10+'Frende Livsforsikring'!B28+'Frende Livsforsikring'!B35+'Frende Livsforsikring'!B85+'Frende Livsforsikring'!B133</f>
        <v>738160</v>
      </c>
      <c r="H13" s="174">
        <f>'Frende Livsforsikring'!C10+'Frende Livsforsikring'!C28+'Frende Livsforsikring'!C35+'Frende Livsforsikring'!C85+'Frende Livsforsikring'!C133</f>
        <v>882143</v>
      </c>
      <c r="I13" s="102">
        <f t="shared" si="6"/>
        <v>19.5</v>
      </c>
      <c r="J13" s="392">
        <f t="shared" si="7"/>
        <v>9.1471357658026234E-2</v>
      </c>
      <c r="K13" s="85" t="s">
        <v>154</v>
      </c>
      <c r="L13" s="221">
        <f t="shared" ca="1" si="0"/>
        <v>0</v>
      </c>
      <c r="M13" s="219">
        <f t="shared" ca="1" si="1"/>
        <v>0</v>
      </c>
      <c r="N13" s="221">
        <f t="shared" ca="1" si="2"/>
        <v>0</v>
      </c>
      <c r="O13" s="219">
        <f t="shared" ca="1" si="3"/>
        <v>0</v>
      </c>
    </row>
    <row r="14" spans="1:16" ht="18.75" x14ac:dyDescent="0.3">
      <c r="A14" s="191" t="s">
        <v>95</v>
      </c>
      <c r="B14" s="174">
        <f>'Frende Skadeforsikring'!B7+'Frende Skadeforsikring'!B22+'Frende Skadeforsikring'!B34+'Frende Skadeforsikring'!B45+'Frende Skadeforsikring'!B64+'Frende Skadeforsikring'!B132</f>
        <v>4460</v>
      </c>
      <c r="C14" s="174">
        <f>'Frende Skadeforsikring'!C7+'Frende Skadeforsikring'!C22+'Frende Skadeforsikring'!C34+'Frende Skadeforsikring'!C45+'Frende Skadeforsikring'!C64+'Frende Skadeforsikring'!C132</f>
        <v>5631</v>
      </c>
      <c r="D14" s="102">
        <f t="shared" si="4"/>
        <v>26.3</v>
      </c>
      <c r="E14" s="392">
        <f t="shared" si="5"/>
        <v>1.3396306303192312E-2</v>
      </c>
      <c r="F14" s="101"/>
      <c r="G14" s="174">
        <f>'Frende Skadeforsikring'!B10+'Frende Skadeforsikring'!B28+'Frende Skadeforsikring'!B35+'Frende Skadeforsikring'!B85+'Frende Skadeforsikring'!B133</f>
        <v>0</v>
      </c>
      <c r="H14" s="174">
        <f>'Frende Skadeforsikring'!C10+'Frende Skadeforsikring'!C28+'Frende Skadeforsikring'!C35+'Frende Skadeforsikring'!C85+'Frende Skadeforsikring'!C133</f>
        <v>0</v>
      </c>
      <c r="I14" s="102"/>
      <c r="J14" s="392">
        <f t="shared" si="7"/>
        <v>0</v>
      </c>
      <c r="K14" s="85" t="s">
        <v>162</v>
      </c>
      <c r="L14" s="221">
        <f t="shared" ca="1" si="0"/>
        <v>0</v>
      </c>
      <c r="M14" s="219">
        <f t="shared" ca="1" si="1"/>
        <v>0</v>
      </c>
      <c r="N14" s="221">
        <f t="shared" ca="1" si="2"/>
        <v>0</v>
      </c>
      <c r="O14" s="219">
        <f t="shared" ca="1" si="3"/>
        <v>0</v>
      </c>
    </row>
    <row r="15" spans="1:16" ht="18.75" x14ac:dyDescent="0.3">
      <c r="A15" s="191" t="s">
        <v>96</v>
      </c>
      <c r="B15" s="174">
        <f>'Gjensidige Forsikring'!B7+'Gjensidige Forsikring'!B22+'Gjensidige Forsikring'!B34+'Gjensidige Forsikring'!B45+'Gjensidige Forsikring'!B64+'Gjensidige Forsikring'!B132</f>
        <v>1280022</v>
      </c>
      <c r="C15" s="174">
        <f>'Gjensidige Forsikring'!C7+'Gjensidige Forsikring'!C22+'Gjensidige Forsikring'!C34+'Gjensidige Forsikring'!C45+'Gjensidige Forsikring'!C64+'Gjensidige Forsikring'!C132</f>
        <v>1345481</v>
      </c>
      <c r="D15" s="102">
        <f t="shared" si="4"/>
        <v>5.0999999999999996</v>
      </c>
      <c r="E15" s="392">
        <f t="shared" si="5"/>
        <v>3.2009368853002123</v>
      </c>
      <c r="F15" s="101"/>
      <c r="G15" s="174">
        <f>'Gjensidige Forsikring'!B10+'Gjensidige Forsikring'!B28+'Gjensidige Forsikring'!B35+'Gjensidige Forsikring'!B85+'Gjensidige Forsikring'!B133</f>
        <v>0</v>
      </c>
      <c r="H15" s="174">
        <f>'Gjensidige Forsikring'!C10+'Gjensidige Forsikring'!C28+'Gjensidige Forsikring'!C35+'Gjensidige Forsikring'!C85+'Gjensidige Forsikring'!C133</f>
        <v>0</v>
      </c>
      <c r="I15" s="102"/>
      <c r="J15" s="392">
        <f t="shared" si="7"/>
        <v>0</v>
      </c>
      <c r="K15" s="85" t="s">
        <v>155</v>
      </c>
      <c r="L15" s="221">
        <f t="shared" ca="1" si="0"/>
        <v>0</v>
      </c>
      <c r="M15" s="219">
        <f t="shared" ca="1" si="1"/>
        <v>0</v>
      </c>
      <c r="N15" s="221">
        <f t="shared" ca="1" si="2"/>
        <v>0</v>
      </c>
      <c r="O15" s="219">
        <f t="shared" ca="1" si="3"/>
        <v>0</v>
      </c>
    </row>
    <row r="16" spans="1:16" ht="18.75" x14ac:dyDescent="0.3">
      <c r="A16" s="191" t="s">
        <v>97</v>
      </c>
      <c r="B16" s="174">
        <f>'Gjensidige Pensjon'!B7+'Gjensidige Pensjon'!B22+'Gjensidige Pensjon'!B34+'Gjensidige Pensjon'!B45+'Gjensidige Pensjon'!B64+'Gjensidige Pensjon'!B132</f>
        <v>349737.36647000001</v>
      </c>
      <c r="C16" s="174">
        <f>'Gjensidige Pensjon'!C7+'Gjensidige Pensjon'!C22+'Gjensidige Pensjon'!C34+'Gjensidige Pensjon'!C45+'Gjensidige Pensjon'!C64+'Gjensidige Pensjon'!C132</f>
        <v>397649.359</v>
      </c>
      <c r="D16" s="102">
        <f t="shared" si="4"/>
        <v>13.7</v>
      </c>
      <c r="E16" s="392">
        <f t="shared" si="5"/>
        <v>0.94601893348110155</v>
      </c>
      <c r="F16" s="101"/>
      <c r="G16" s="174">
        <f>'Gjensidige Pensjon'!B10+'Gjensidige Pensjon'!B28+'Gjensidige Pensjon'!B35+'Gjensidige Pensjon'!B85+'Gjensidige Pensjon'!B133</f>
        <v>5218584.7713399995</v>
      </c>
      <c r="H16" s="174">
        <f>'Gjensidige Pensjon'!C10+'Gjensidige Pensjon'!C28+'Gjensidige Pensjon'!C35+'Gjensidige Pensjon'!C85+'Gjensidige Pensjon'!C133</f>
        <v>5849818.0779999997</v>
      </c>
      <c r="I16" s="102">
        <f t="shared" si="6"/>
        <v>12.1</v>
      </c>
      <c r="J16" s="392">
        <f t="shared" si="7"/>
        <v>0.60658056760312729</v>
      </c>
      <c r="K16" s="85" t="s">
        <v>163</v>
      </c>
      <c r="L16" s="221">
        <f t="shared" ca="1" si="0"/>
        <v>0</v>
      </c>
      <c r="M16" s="219">
        <f t="shared" ca="1" si="1"/>
        <v>0</v>
      </c>
      <c r="N16" s="221">
        <f t="shared" ca="1" si="2"/>
        <v>0</v>
      </c>
      <c r="O16" s="219">
        <f t="shared" ca="1" si="3"/>
        <v>0</v>
      </c>
    </row>
    <row r="17" spans="1:21" ht="18.75" x14ac:dyDescent="0.3">
      <c r="A17" s="191" t="s">
        <v>98</v>
      </c>
      <c r="B17" s="174">
        <f>'Handelsbanken Liv'!B7+'Handelsbanken Liv'!B22+'Handelsbanken Liv'!B34+'Handelsbanken Liv'!B45+'Handelsbanken Liv'!B64+'Handelsbanken Liv'!B132</f>
        <v>29736</v>
      </c>
      <c r="C17" s="174">
        <f>'Handelsbanken Liv'!C7+'Handelsbanken Liv'!C22+'Handelsbanken Liv'!C34+'Handelsbanken Liv'!C45+'Handelsbanken Liv'!C64+'Handelsbanken Liv'!C132</f>
        <v>28772</v>
      </c>
      <c r="D17" s="102">
        <f t="shared" si="4"/>
        <v>-3.2</v>
      </c>
      <c r="E17" s="392">
        <f t="shared" si="5"/>
        <v>6.8449391751988845E-2</v>
      </c>
      <c r="F17" s="101"/>
      <c r="G17" s="174">
        <f>'Handelsbanken Liv'!B10+'Handelsbanken Liv'!B28+'Handelsbanken Liv'!B35+'Handelsbanken Liv'!B85+'Handelsbanken Liv'!B133</f>
        <v>23804</v>
      </c>
      <c r="H17" s="174">
        <f>'Handelsbanken Liv'!C10+'Handelsbanken Liv'!C28+'Handelsbanken Liv'!C35+'Handelsbanken Liv'!C85+'Handelsbanken Liv'!C133</f>
        <v>24751</v>
      </c>
      <c r="I17" s="102">
        <f t="shared" si="6"/>
        <v>4</v>
      </c>
      <c r="J17" s="392">
        <f t="shared" si="7"/>
        <v>2.5664859023920238E-3</v>
      </c>
      <c r="K17" s="137"/>
      <c r="L17" s="221">
        <f t="shared" ca="1" si="0"/>
        <v>0</v>
      </c>
      <c r="M17" s="219">
        <f t="shared" ca="1" si="1"/>
        <v>0</v>
      </c>
      <c r="N17" s="221">
        <f t="shared" ca="1" si="2"/>
        <v>0</v>
      </c>
      <c r="O17" s="219">
        <f t="shared" ca="1" si="3"/>
        <v>0</v>
      </c>
    </row>
    <row r="18" spans="1:21" ht="18.75" x14ac:dyDescent="0.3">
      <c r="A18" s="191" t="s">
        <v>99</v>
      </c>
      <c r="B18" s="174">
        <f>'If Skadeforsikring NUF'!B7+'If Skadeforsikring NUF'!B22+'If Skadeforsikring NUF'!B34+'If Skadeforsikring NUF'!B45+'If Skadeforsikring NUF'!B64+'If Skadeforsikring NUF'!B132</f>
        <v>334860.86629999999</v>
      </c>
      <c r="C18" s="174">
        <f>'If Skadeforsikring NUF'!C7+'If Skadeforsikring NUF'!C22+'If Skadeforsikring NUF'!C34+'If Skadeforsikring NUF'!C45+'If Skadeforsikring NUF'!C64+'If Skadeforsikring NUF'!C132</f>
        <v>349378.46600000001</v>
      </c>
      <c r="D18" s="102">
        <f t="shared" si="4"/>
        <v>4.3</v>
      </c>
      <c r="E18" s="392">
        <f t="shared" si="5"/>
        <v>0.83118113057635612</v>
      </c>
      <c r="F18" s="101"/>
      <c r="G18" s="174">
        <f>'If Skadeforsikring NUF'!B10+'If Skadeforsikring NUF'!B28+'If Skadeforsikring NUF'!B35+'If Skadeforsikring NUF'!B85+'If Skadeforsikring NUF'!B133</f>
        <v>0</v>
      </c>
      <c r="H18" s="174">
        <f>'If Skadeforsikring NUF'!C10+'If Skadeforsikring NUF'!C28+'If Skadeforsikring NUF'!C35+'If Skadeforsikring NUF'!C85+'If Skadeforsikring NUF'!C133</f>
        <v>0</v>
      </c>
      <c r="I18" s="102"/>
      <c r="J18" s="392">
        <f t="shared" si="7"/>
        <v>0</v>
      </c>
      <c r="K18" s="137"/>
      <c r="L18" s="221">
        <f t="shared" ca="1" si="0"/>
        <v>0</v>
      </c>
      <c r="M18" s="219">
        <f t="shared" ca="1" si="1"/>
        <v>0</v>
      </c>
      <c r="N18" s="221">
        <f t="shared" ca="1" si="2"/>
        <v>0</v>
      </c>
      <c r="O18" s="219">
        <f t="shared" ca="1" si="3"/>
        <v>0</v>
      </c>
    </row>
    <row r="19" spans="1:21" ht="18.75" x14ac:dyDescent="0.3">
      <c r="A19" s="191" t="s">
        <v>65</v>
      </c>
      <c r="B19" s="174">
        <f>KLP!B7+KLP!B22+KLP!B34+KLP!B45+KLP!B64+KLP!B132</f>
        <v>26078051.088160001</v>
      </c>
      <c r="C19" s="174">
        <f>KLP!C7+KLP!C22+KLP!C34+KLP!C45+KLP!C64+KLP!C132</f>
        <v>23695892.482170001</v>
      </c>
      <c r="D19" s="102">
        <f t="shared" si="4"/>
        <v>-9.1</v>
      </c>
      <c r="E19" s="392">
        <f t="shared" si="5"/>
        <v>56.373190164919428</v>
      </c>
      <c r="F19" s="101"/>
      <c r="G19" s="174">
        <f>KLP!B10+KLP!B28+KLP!B35+KLP!B85+KLP!B133</f>
        <v>416576263.68419999</v>
      </c>
      <c r="H19" s="174">
        <f>KLP!C10+KLP!C28+KLP!C35+KLP!C85+KLP!C133</f>
        <v>439040297.38777</v>
      </c>
      <c r="I19" s="102">
        <f t="shared" si="6"/>
        <v>5.4</v>
      </c>
      <c r="J19" s="392">
        <f t="shared" si="7"/>
        <v>45.525058940152455</v>
      </c>
      <c r="K19" s="137"/>
      <c r="L19" s="221">
        <f t="shared" ca="1" si="0"/>
        <v>0</v>
      </c>
      <c r="M19" s="219">
        <f t="shared" ca="1" si="1"/>
        <v>0</v>
      </c>
      <c r="N19" s="221">
        <f t="shared" ca="1" si="2"/>
        <v>0</v>
      </c>
      <c r="O19" s="219">
        <f t="shared" ca="1" si="3"/>
        <v>0</v>
      </c>
    </row>
    <row r="20" spans="1:21" ht="18.75" x14ac:dyDescent="0.3">
      <c r="A20" s="106" t="s">
        <v>100</v>
      </c>
      <c r="B20" s="174">
        <f>'KLP Bedriftspensjon AS'!B7+'KLP Bedriftspensjon AS'!B22+'KLP Bedriftspensjon AS'!B34+'KLP Bedriftspensjon AS'!B45+'KLP Bedriftspensjon AS'!B64+'KLP Bedriftspensjon AS'!B132</f>
        <v>82464</v>
      </c>
      <c r="C20" s="174">
        <f>'KLP Bedriftspensjon AS'!C7+'KLP Bedriftspensjon AS'!C22+'KLP Bedriftspensjon AS'!C34+'KLP Bedriftspensjon AS'!C45+'KLP Bedriftspensjon AS'!C64+'KLP Bedriftspensjon AS'!C132</f>
        <v>61324</v>
      </c>
      <c r="D20" s="102">
        <f t="shared" si="4"/>
        <v>-25.6</v>
      </c>
      <c r="E20" s="392">
        <f t="shared" si="5"/>
        <v>0.14589150909908816</v>
      </c>
      <c r="F20" s="101"/>
      <c r="G20" s="174">
        <f>'KLP Bedriftspensjon AS'!B10+'KLP Bedriftspensjon AS'!B28+'KLP Bedriftspensjon AS'!B35+'KLP Bedriftspensjon AS'!B85+'KLP Bedriftspensjon AS'!B133</f>
        <v>1465104</v>
      </c>
      <c r="H20" s="174">
        <f>'KLP Bedriftspensjon AS'!C10+'KLP Bedriftspensjon AS'!C28+'KLP Bedriftspensjon AS'!C35+'KLP Bedriftspensjon AS'!C85+'KLP Bedriftspensjon AS'!C133</f>
        <v>1539670</v>
      </c>
      <c r="I20" s="102">
        <f t="shared" si="6"/>
        <v>5.0999999999999996</v>
      </c>
      <c r="J20" s="392">
        <f t="shared" si="7"/>
        <v>0.15965178575960273</v>
      </c>
      <c r="K20" s="137"/>
      <c r="L20" s="221">
        <f t="shared" ca="1" si="0"/>
        <v>0</v>
      </c>
      <c r="M20" s="219">
        <f t="shared" ca="1" si="1"/>
        <v>0</v>
      </c>
      <c r="N20" s="221">
        <f t="shared" ca="1" si="2"/>
        <v>0</v>
      </c>
      <c r="O20" s="219">
        <f t="shared" ca="1" si="3"/>
        <v>0</v>
      </c>
    </row>
    <row r="21" spans="1:21" ht="18.75" x14ac:dyDescent="0.3">
      <c r="A21" s="106" t="s">
        <v>101</v>
      </c>
      <c r="B21" s="174">
        <f>'KLP Skadeforsikring AS'!B7+'KLP Skadeforsikring AS'!B22+'KLP Skadeforsikring AS'!B34+'KLP Skadeforsikring AS'!B45+'KLP Skadeforsikring AS'!B64+'KLP Skadeforsikring AS'!B132</f>
        <v>122502</v>
      </c>
      <c r="C21" s="174">
        <f>'KLP Skadeforsikring AS'!C7+'KLP Skadeforsikring AS'!C22+'KLP Skadeforsikring AS'!C34+'KLP Skadeforsikring AS'!C45+'KLP Skadeforsikring AS'!C64+'KLP Skadeforsikring AS'!C132</f>
        <v>138577.38699999999</v>
      </c>
      <c r="D21" s="102">
        <f t="shared" si="4"/>
        <v>13.1</v>
      </c>
      <c r="E21" s="392">
        <f t="shared" si="5"/>
        <v>0.32967947486201743</v>
      </c>
      <c r="F21" s="101"/>
      <c r="G21" s="174">
        <f>'KLP Skadeforsikring AS'!B10+'KLP Skadeforsikring AS'!B28+'KLP Skadeforsikring AS'!B35+'KLP Skadeforsikring AS'!B85+'KLP Skadeforsikring AS'!B133</f>
        <v>2909</v>
      </c>
      <c r="H21" s="174">
        <f>'KLP Skadeforsikring AS'!C10+'KLP Skadeforsikring AS'!C28+'KLP Skadeforsikring AS'!C35+'KLP Skadeforsikring AS'!C85+'KLP Skadeforsikring AS'!C133</f>
        <v>4442</v>
      </c>
      <c r="I21" s="102">
        <f t="shared" si="6"/>
        <v>52.7</v>
      </c>
      <c r="J21" s="392">
        <f t="shared" si="7"/>
        <v>4.6060079909601107E-4</v>
      </c>
      <c r="K21" s="137"/>
      <c r="L21" s="221">
        <f t="shared" ca="1" si="0"/>
        <v>0</v>
      </c>
      <c r="M21" s="219">
        <f t="shared" ca="1" si="1"/>
        <v>0</v>
      </c>
      <c r="N21" s="221">
        <f t="shared" ca="1" si="2"/>
        <v>0</v>
      </c>
      <c r="O21" s="219">
        <f t="shared" ca="1" si="3"/>
        <v>0</v>
      </c>
    </row>
    <row r="22" spans="1:21" ht="18.75" x14ac:dyDescent="0.3">
      <c r="A22" s="106" t="s">
        <v>102</v>
      </c>
      <c r="B22" s="174">
        <f>'Landbruksforsikring AS'!B7+'Landbruksforsikring AS'!B22+'Landbruksforsikring AS'!B34+'Landbruksforsikring AS'!B45+'Landbruksforsikring AS'!B64+'Landbruksforsikring AS'!B132</f>
        <v>22948</v>
      </c>
      <c r="C22" s="174">
        <f>'Landbruksforsikring AS'!C7+'Landbruksforsikring AS'!C22+'Landbruksforsikring AS'!C34+'Landbruksforsikring AS'!C45+'Landbruksforsikring AS'!C64+'Landbruksforsikring AS'!C132</f>
        <v>24813</v>
      </c>
      <c r="D22" s="102">
        <f t="shared" si="4"/>
        <v>8.1</v>
      </c>
      <c r="E22" s="392">
        <f t="shared" si="5"/>
        <v>5.9030820156475018E-2</v>
      </c>
      <c r="F22" s="101"/>
      <c r="G22" s="174">
        <f>'Landbruksforsikring AS'!B10+'Landbruksforsikring AS'!B28+'Landbruksforsikring AS'!B35+'Landbruksforsikring AS'!B85+'Landbruksforsikring AS'!B133</f>
        <v>0</v>
      </c>
      <c r="H22" s="174">
        <f>'Landbruksforsikring AS'!C10+'Landbruksforsikring AS'!C28+'Landbruksforsikring AS'!C35+'Landbruksforsikring AS'!C85+'Landbruksforsikring AS'!C133</f>
        <v>0</v>
      </c>
      <c r="I22" s="102"/>
      <c r="J22" s="392">
        <f t="shared" si="7"/>
        <v>0</v>
      </c>
      <c r="K22" s="137"/>
      <c r="L22" s="221">
        <f t="shared" ca="1" si="0"/>
        <v>0</v>
      </c>
      <c r="M22" s="219">
        <f t="shared" ca="1" si="1"/>
        <v>0</v>
      </c>
      <c r="N22" s="221">
        <f t="shared" ca="1" si="2"/>
        <v>0</v>
      </c>
      <c r="O22" s="219">
        <f t="shared" ca="1" si="3"/>
        <v>0</v>
      </c>
    </row>
    <row r="23" spans="1:21" ht="18.75" x14ac:dyDescent="0.3">
      <c r="A23" s="191" t="s">
        <v>103</v>
      </c>
      <c r="B23" s="174">
        <f>'NEMI Forsikring'!B7+'NEMI Forsikring'!B22+'NEMI Forsikring'!B34+'NEMI Forsikring'!B45+'NEMI Forsikring'!B64+'NEMI Forsikring'!B132</f>
        <v>1465</v>
      </c>
      <c r="C23" s="174">
        <f>'NEMI Forsikring'!C7+'NEMI Forsikring'!C22+'NEMI Forsikring'!C34+'NEMI Forsikring'!C45+'NEMI Forsikring'!C64+'NEMI Forsikring'!C132</f>
        <v>2011</v>
      </c>
      <c r="D23" s="102">
        <f t="shared" si="4"/>
        <v>37.299999999999997</v>
      </c>
      <c r="E23" s="392">
        <f t="shared" si="5"/>
        <v>4.7842251777161678E-3</v>
      </c>
      <c r="F23" s="101"/>
      <c r="G23" s="174">
        <f>'NEMI Forsikring'!B10+'NEMI Forsikring'!B28+'NEMI Forsikring'!B35+'NEMI Forsikring'!B85+'NEMI Forsikring'!B133</f>
        <v>0</v>
      </c>
      <c r="H23" s="174">
        <f>'NEMI Forsikring'!C10+'NEMI Forsikring'!C28+'NEMI Forsikring'!C35+'NEMI Forsikring'!C85+'NEMI Forsikring'!C133</f>
        <v>0</v>
      </c>
      <c r="I23" s="102"/>
      <c r="J23" s="392">
        <f t="shared" si="7"/>
        <v>0</v>
      </c>
      <c r="K23" s="137"/>
      <c r="L23" s="221">
        <f t="shared" ca="1" si="0"/>
        <v>0</v>
      </c>
      <c r="M23" s="219">
        <f t="shared" ca="1" si="1"/>
        <v>0</v>
      </c>
      <c r="N23" s="221">
        <f t="shared" ca="1" si="2"/>
        <v>0</v>
      </c>
      <c r="O23" s="219">
        <f t="shared" ca="1" si="3"/>
        <v>0</v>
      </c>
    </row>
    <row r="24" spans="1:21" ht="18.75" x14ac:dyDescent="0.3">
      <c r="A24" s="106" t="s">
        <v>104</v>
      </c>
      <c r="B24" s="174">
        <f>'Nordea Liv '!B7+'Nordea Liv '!B22+'Nordea Liv '!B34+'Nordea Liv '!B45+'Nordea Liv '!B64+'Nordea Liv '!B132</f>
        <v>1741415.5880896798</v>
      </c>
      <c r="C24" s="174">
        <f>'Nordea Liv '!C7+'Nordea Liv '!C22+'Nordea Liv '!C34+'Nordea Liv '!C45+'Nordea Liv '!C64+'Nordea Liv '!C132</f>
        <v>1209085.466300502</v>
      </c>
      <c r="D24" s="102">
        <f t="shared" si="4"/>
        <v>-30.6</v>
      </c>
      <c r="E24" s="392">
        <f t="shared" si="5"/>
        <v>2.8764481003906286</v>
      </c>
      <c r="F24" s="101"/>
      <c r="G24" s="175">
        <f>'Nordea Liv '!B10+'Nordea Liv '!B28+'Nordea Liv '!B35+'Nordea Liv '!B85+'Nordea Liv '!B133</f>
        <v>48325800.010000005</v>
      </c>
      <c r="H24" s="175">
        <f>'Nordea Liv '!C10+'Nordea Liv '!C28+'Nordea Liv '!C35+'Nordea Liv '!C85+'Nordea Liv '!C133</f>
        <v>49512507.851999976</v>
      </c>
      <c r="I24" s="102">
        <f t="shared" si="6"/>
        <v>2.5</v>
      </c>
      <c r="J24" s="392">
        <f t="shared" si="7"/>
        <v>5.1340613871856622</v>
      </c>
      <c r="K24" s="137"/>
      <c r="L24" s="221">
        <f t="shared" ca="1" si="0"/>
        <v>0</v>
      </c>
      <c r="M24" s="219">
        <f t="shared" ca="1" si="1"/>
        <v>0</v>
      </c>
      <c r="N24" s="221">
        <f t="shared" ca="1" si="2"/>
        <v>0</v>
      </c>
      <c r="O24" s="219">
        <f t="shared" ca="1" si="3"/>
        <v>0</v>
      </c>
    </row>
    <row r="25" spans="1:21" ht="18.75" x14ac:dyDescent="0.3">
      <c r="A25" s="106" t="s">
        <v>105</v>
      </c>
      <c r="B25" s="174">
        <f>'Oslo Pensjonsforsikring'!B7+'Oslo Pensjonsforsikring'!B22+'Oslo Pensjonsforsikring'!B34+'Oslo Pensjonsforsikring'!B45+'Oslo Pensjonsforsikring'!B64+'Oslo Pensjonsforsikring'!B132</f>
        <v>3324961</v>
      </c>
      <c r="C25" s="174">
        <f>'Oslo Pensjonsforsikring'!C7+'Oslo Pensjonsforsikring'!C22+'Oslo Pensjonsforsikring'!C34+'Oslo Pensjonsforsikring'!C45+'Oslo Pensjonsforsikring'!C64+'Oslo Pensjonsforsikring'!C132</f>
        <v>3152879</v>
      </c>
      <c r="D25" s="102">
        <f t="shared" si="4"/>
        <v>-5.2</v>
      </c>
      <c r="E25" s="392">
        <f t="shared" si="5"/>
        <v>7.5007872173508572</v>
      </c>
      <c r="F25" s="101"/>
      <c r="G25" s="174">
        <f>'Oslo Pensjonsforsikring'!B10+'Oslo Pensjonsforsikring'!B28+'Oslo Pensjonsforsikring'!B35+'Oslo Pensjonsforsikring'!B85+'Oslo Pensjonsforsikring'!B133</f>
        <v>63722413</v>
      </c>
      <c r="H25" s="174">
        <f>'Oslo Pensjonsforsikring'!C10+'Oslo Pensjonsforsikring'!C28+'Oslo Pensjonsforsikring'!C35+'Oslo Pensjonsforsikring'!C85+'Oslo Pensjonsforsikring'!C133</f>
        <v>69246198</v>
      </c>
      <c r="I25" s="102">
        <f t="shared" si="6"/>
        <v>8.6999999999999993</v>
      </c>
      <c r="J25" s="392">
        <f t="shared" si="7"/>
        <v>7.1802913401982451</v>
      </c>
      <c r="K25" s="137"/>
      <c r="L25" s="221">
        <f t="shared" ca="1" si="0"/>
        <v>0</v>
      </c>
      <c r="M25" s="219">
        <f t="shared" ca="1" si="1"/>
        <v>0</v>
      </c>
      <c r="N25" s="221">
        <f t="shared" ca="1" si="2"/>
        <v>0</v>
      </c>
      <c r="O25" s="219">
        <f t="shared" ca="1" si="3"/>
        <v>0</v>
      </c>
    </row>
    <row r="26" spans="1:21" ht="18.75" x14ac:dyDescent="0.3">
      <c r="A26" s="106" t="s">
        <v>106</v>
      </c>
      <c r="B26" s="174">
        <f>'Silver Pensjonsforsikring AS'!B7+'Silver Pensjonsforsikring AS'!B22+'Silver Pensjonsforsikring AS'!B34+'Silver Pensjonsforsikring AS'!B45+'Silver Pensjonsforsikring AS'!B64+'Silver Pensjonsforsikring AS'!B132</f>
        <v>0</v>
      </c>
      <c r="C26" s="174">
        <f>'Silver Pensjonsforsikring AS'!C7+'Silver Pensjonsforsikring AS'!C22+'Silver Pensjonsforsikring AS'!C34+'Silver Pensjonsforsikring AS'!C45+'Silver Pensjonsforsikring AS'!C64+'Silver Pensjonsforsikring AS'!C132</f>
        <v>0</v>
      </c>
      <c r="D26" s="102"/>
      <c r="E26" s="392">
        <f t="shared" si="5"/>
        <v>0</v>
      </c>
      <c r="F26" s="101"/>
      <c r="G26" s="174">
        <f>'Silver Pensjonsforsikring AS'!B10+'Silver Pensjonsforsikring AS'!B28+'Silver Pensjonsforsikring AS'!B35+'Silver Pensjonsforsikring AS'!B85+'Silver Pensjonsforsikring AS'!B133</f>
        <v>8663691.5365299992</v>
      </c>
      <c r="H26" s="174">
        <f>'Silver Pensjonsforsikring AS'!C10+'Silver Pensjonsforsikring AS'!C28+'Silver Pensjonsforsikring AS'!C35+'Silver Pensjonsforsikring AS'!C85+'Silver Pensjonsforsikring AS'!C133</f>
        <v>0</v>
      </c>
      <c r="I26" s="102">
        <f t="shared" si="6"/>
        <v>-100</v>
      </c>
      <c r="J26" s="392">
        <f t="shared" si="7"/>
        <v>0</v>
      </c>
      <c r="K26" s="137"/>
      <c r="L26" s="221">
        <f t="shared" ca="1" si="0"/>
        <v>0</v>
      </c>
      <c r="M26" s="219">
        <f t="shared" ca="1" si="1"/>
        <v>0</v>
      </c>
      <c r="N26" s="221">
        <f t="shared" ca="1" si="2"/>
        <v>0</v>
      </c>
      <c r="O26" s="219">
        <f t="shared" ca="1" si="3"/>
        <v>0</v>
      </c>
    </row>
    <row r="27" spans="1:21" ht="18.75" x14ac:dyDescent="0.3">
      <c r="A27" s="191" t="s">
        <v>72</v>
      </c>
      <c r="B27" s="174">
        <f>'Sparebank 1'!B7+'Sparebank 1'!B22+'Sparebank 1'!B34+'Sparebank 1'!B45+'Sparebank 1'!B64+'Sparebank 1'!B132</f>
        <v>1933661.03204</v>
      </c>
      <c r="C27" s="174">
        <f>'Sparebank 1'!C7+'Sparebank 1'!C22+'Sparebank 1'!C34+'Sparebank 1'!C45+'Sparebank 1'!C64+'Sparebank 1'!C132</f>
        <v>2040328.4479700001</v>
      </c>
      <c r="D27" s="102">
        <f t="shared" si="4"/>
        <v>5.5</v>
      </c>
      <c r="E27" s="392">
        <f t="shared" si="5"/>
        <v>4.8539983747332798</v>
      </c>
      <c r="F27" s="101"/>
      <c r="G27" s="174">
        <f>'Sparebank 1'!B10+'Sparebank 1'!B28+'Sparebank 1'!B35+'Sparebank 1'!B85+'Sparebank 1'!B133</f>
        <v>16959011.261780001</v>
      </c>
      <c r="H27" s="174">
        <f>'Sparebank 1'!C10+'Sparebank 1'!C28+'Sparebank 1'!C35+'Sparebank 1'!C85+'Sparebank 1'!C133</f>
        <v>17948766.884909999</v>
      </c>
      <c r="I27" s="102">
        <f t="shared" si="6"/>
        <v>5.8</v>
      </c>
      <c r="J27" s="392">
        <f t="shared" si="7"/>
        <v>1.8611473142677999</v>
      </c>
      <c r="K27" s="137"/>
      <c r="L27" s="221">
        <f t="shared" ca="1" si="0"/>
        <v>0</v>
      </c>
      <c r="M27" s="219">
        <f t="shared" ca="1" si="1"/>
        <v>0</v>
      </c>
      <c r="N27" s="221">
        <f t="shared" ca="1" si="2"/>
        <v>0</v>
      </c>
      <c r="O27" s="219">
        <f t="shared" ca="1" si="3"/>
        <v>0</v>
      </c>
    </row>
    <row r="28" spans="1:21" ht="18.75" x14ac:dyDescent="0.3">
      <c r="A28" s="191" t="s">
        <v>107</v>
      </c>
      <c r="B28" s="174">
        <f>'Storebrand Livsforsikring'!B7+'Storebrand Livsforsikring'!B22+'Storebrand Livsforsikring'!B34+'Storebrand Livsforsikring'!B45+'Storebrand Livsforsikring'!B64+'Storebrand Livsforsikring'!B132</f>
        <v>5604066.0920000002</v>
      </c>
      <c r="C28" s="174">
        <f>'Storebrand Livsforsikring'!C7+'Storebrand Livsforsikring'!C22+'Storebrand Livsforsikring'!C34+'Storebrand Livsforsikring'!C45+'Storebrand Livsforsikring'!C64+'Storebrand Livsforsikring'!C132</f>
        <v>4082640.2379999999</v>
      </c>
      <c r="D28" s="102">
        <f t="shared" si="4"/>
        <v>-27.1</v>
      </c>
      <c r="E28" s="392">
        <f t="shared" si="5"/>
        <v>9.7127151756323844</v>
      </c>
      <c r="F28" s="101"/>
      <c r="G28" s="174">
        <f>'Storebrand Livsforsikring'!B10+'Storebrand Livsforsikring'!B28+'Storebrand Livsforsikring'!B35+'Storebrand Livsforsikring'!B85+'Storebrand Livsforsikring'!B133</f>
        <v>175999064.08508003</v>
      </c>
      <c r="H28" s="174">
        <f>'Storebrand Livsforsikring'!C10+'Storebrand Livsforsikring'!C28+'Storebrand Livsforsikring'!C35+'Storebrand Livsforsikring'!C85+'Storebrand Livsforsikring'!C133</f>
        <v>176373831.59999999</v>
      </c>
      <c r="I28" s="102">
        <f t="shared" si="6"/>
        <v>0.2</v>
      </c>
      <c r="J28" s="392">
        <f t="shared" si="7"/>
        <v>18.28859247514302</v>
      </c>
      <c r="K28" s="137"/>
      <c r="L28" s="221">
        <f t="shared" ca="1" si="0"/>
        <v>0</v>
      </c>
      <c r="M28" s="219">
        <f t="shared" ca="1" si="1"/>
        <v>0</v>
      </c>
      <c r="N28" s="221">
        <f t="shared" ca="1" si="2"/>
        <v>0</v>
      </c>
      <c r="O28" s="219">
        <f t="shared" ca="1" si="3"/>
        <v>0</v>
      </c>
    </row>
    <row r="29" spans="1:21" ht="18.75" x14ac:dyDescent="0.3">
      <c r="A29" s="191" t="s">
        <v>108</v>
      </c>
      <c r="B29" s="174">
        <f>'Telenor Forsikring'!B7+'Telenor Forsikring'!B22+'Telenor Forsikring'!B34+'Telenor Forsikring'!B45+'Telenor Forsikring'!B64+'Telenor Forsikring'!B132</f>
        <v>25828</v>
      </c>
      <c r="C29" s="174">
        <f>'Telenor Forsikring'!C7+'Telenor Forsikring'!C22+'Telenor Forsikring'!C34+'Telenor Forsikring'!C45+'Telenor Forsikring'!C64+'Telenor Forsikring'!C132</f>
        <v>23751</v>
      </c>
      <c r="D29" s="102">
        <f t="shared" si="4"/>
        <v>-8</v>
      </c>
      <c r="E29" s="392">
        <f t="shared" si="5"/>
        <v>5.6504292489277325E-2</v>
      </c>
      <c r="F29" s="101"/>
      <c r="G29" s="174">
        <f>'Telenor Forsikring'!B10+'Telenor Forsikring'!B28+'Telenor Forsikring'!B35+'Telenor Forsikring'!B85+'Telenor Forsikring'!B133</f>
        <v>0</v>
      </c>
      <c r="H29" s="174">
        <f>'Telenor Forsikring'!C10+'Telenor Forsikring'!C28+'Telenor Forsikring'!C35+'Telenor Forsikring'!C85+'Telenor Forsikring'!C133</f>
        <v>0</v>
      </c>
      <c r="I29" s="102"/>
      <c r="J29" s="392">
        <f t="shared" si="7"/>
        <v>0</v>
      </c>
      <c r="K29" s="205"/>
      <c r="L29" s="221">
        <f t="shared" ca="1" si="0"/>
        <v>0</v>
      </c>
      <c r="M29" s="219">
        <f t="shared" ca="1" si="1"/>
        <v>0</v>
      </c>
      <c r="N29" s="221">
        <f t="shared" ca="1" si="2"/>
        <v>0</v>
      </c>
      <c r="O29" s="219">
        <f t="shared" ca="1" si="3"/>
        <v>0</v>
      </c>
    </row>
    <row r="30" spans="1:21" ht="18.75" x14ac:dyDescent="0.3">
      <c r="A30" s="191" t="s">
        <v>109</v>
      </c>
      <c r="B30" s="174">
        <f>'Tryg Forsikring'!B7+'Tryg Forsikring'!B22+'Tryg Forsikring'!B34+'Tryg Forsikring'!B45+'Tryg Forsikring'!B64+'Tryg Forsikring'!B132</f>
        <v>499374.44325000001</v>
      </c>
      <c r="C30" s="174">
        <f>'Tryg Forsikring'!C7+'Tryg Forsikring'!C22+'Tryg Forsikring'!C34+'Tryg Forsikring'!C45+'Tryg Forsikring'!C64+'Tryg Forsikring'!C132</f>
        <v>487718.42099999997</v>
      </c>
      <c r="D30" s="102">
        <f t="shared" si="4"/>
        <v>-2.2999999999999998</v>
      </c>
      <c r="E30" s="392">
        <f t="shared" si="5"/>
        <v>1.1602957480776597</v>
      </c>
      <c r="F30" s="101"/>
      <c r="G30" s="174">
        <f>'Tryg Forsikring'!B10+'Tryg Forsikring'!B28+'Tryg Forsikring'!B35+'Tryg Forsikring'!B85+'Tryg Forsikring'!B133</f>
        <v>0</v>
      </c>
      <c r="H30" s="174">
        <f>'Tryg Forsikring'!C10+'Tryg Forsikring'!C28+'Tryg Forsikring'!C35+'Tryg Forsikring'!C85+'Tryg Forsikring'!C133</f>
        <v>0</v>
      </c>
      <c r="I30" s="102"/>
      <c r="J30" s="392">
        <f t="shared" si="7"/>
        <v>0</v>
      </c>
      <c r="K30" s="205"/>
      <c r="L30" s="221">
        <f t="shared" ca="1" si="0"/>
        <v>0</v>
      </c>
      <c r="M30" s="219">
        <f t="shared" ca="1" si="1"/>
        <v>0</v>
      </c>
      <c r="N30" s="221">
        <f t="shared" ca="1" si="2"/>
        <v>0</v>
      </c>
      <c r="O30" s="219">
        <f t="shared" ca="1" si="3"/>
        <v>0</v>
      </c>
    </row>
    <row r="31" spans="1:21" s="109" customFormat="1" ht="18.75" x14ac:dyDescent="0.3">
      <c r="A31" s="135" t="s">
        <v>110</v>
      </c>
      <c r="B31" s="176">
        <f>SUM(B9:B30)</f>
        <v>48091479.742309682</v>
      </c>
      <c r="C31" s="240">
        <f>SUM(C9:C30)</f>
        <v>42033974.683440499</v>
      </c>
      <c r="D31" s="102">
        <f t="shared" si="4"/>
        <v>-12.6</v>
      </c>
      <c r="E31" s="393">
        <f>SUM(E9:E30)</f>
        <v>100.00000000000003</v>
      </c>
      <c r="F31" s="107"/>
      <c r="G31" s="176">
        <f>SUM(G9:G30)</f>
        <v>943826013.63293004</v>
      </c>
      <c r="H31" s="176">
        <f>SUM(H9:H30)</f>
        <v>964392595.21868002</v>
      </c>
      <c r="I31" s="102">
        <f t="shared" si="6"/>
        <v>2.2000000000000002</v>
      </c>
      <c r="J31" s="393">
        <f>SUM(J9:J30)</f>
        <v>100.00000000000001</v>
      </c>
      <c r="K31" s="207"/>
      <c r="L31" s="221">
        <f ca="1">SUM(L9:L30)</f>
        <v>0</v>
      </c>
      <c r="M31" s="219">
        <f ca="1">SUM(M9:M30)</f>
        <v>0</v>
      </c>
      <c r="N31" s="221">
        <f ca="1">SUM(N9:N30)</f>
        <v>0</v>
      </c>
      <c r="O31" s="219">
        <f ca="1">SUM(O9:O30)</f>
        <v>0</v>
      </c>
      <c r="U31" s="203"/>
    </row>
    <row r="32" spans="1:21" ht="18.75" x14ac:dyDescent="0.3">
      <c r="A32" s="84"/>
      <c r="B32" s="174"/>
      <c r="C32" s="137"/>
      <c r="D32" s="102"/>
      <c r="E32" s="392"/>
      <c r="F32" s="101"/>
      <c r="G32" s="174"/>
      <c r="H32" s="101"/>
      <c r="I32" s="102"/>
      <c r="J32" s="392"/>
      <c r="K32" s="205"/>
      <c r="L32" s="218" t="s">
        <v>1</v>
      </c>
      <c r="M32" s="219"/>
      <c r="N32" s="221"/>
      <c r="O32" s="219"/>
    </row>
    <row r="33" spans="1:20" ht="18.75" x14ac:dyDescent="0.3">
      <c r="A33" s="99" t="s">
        <v>1</v>
      </c>
      <c r="B33" s="174"/>
      <c r="C33" s="137"/>
      <c r="D33" s="102"/>
      <c r="E33" s="392"/>
      <c r="F33" s="101"/>
      <c r="G33" s="174"/>
      <c r="H33" s="101"/>
      <c r="I33" s="102"/>
      <c r="J33" s="392"/>
      <c r="K33" s="205"/>
      <c r="L33" s="222">
        <v>2015</v>
      </c>
      <c r="M33" s="223">
        <v>2016</v>
      </c>
      <c r="N33" s="222">
        <v>2015</v>
      </c>
      <c r="O33" s="223">
        <v>2016</v>
      </c>
      <c r="P33" s="85" t="s">
        <v>168</v>
      </c>
    </row>
    <row r="34" spans="1:20" ht="18.75" x14ac:dyDescent="0.3">
      <c r="A34" s="105" t="s">
        <v>91</v>
      </c>
      <c r="B34" s="128">
        <f>'Danica Pensjonsforsikring'!F7+'Danica Pensjonsforsikring'!F22+'Danica Pensjonsforsikring'!F64+'Danica Pensjonsforsikring'!F132</f>
        <v>1195735.773</v>
      </c>
      <c r="C34" s="128">
        <f>'Danica Pensjonsforsikring'!G7+'Danica Pensjonsforsikring'!G22+'Danica Pensjonsforsikring'!G64+'Danica Pensjonsforsikring'!G132</f>
        <v>1286598.7120000001</v>
      </c>
      <c r="D34" s="102">
        <f t="shared" ref="D34:D45" si="8">IF(B34=0, "    ---- ", IF(ABS(ROUND(100/B34*C34-100,1))&lt;999,ROUND(100/B34*C34-100,1),IF(ROUND(100/B34*C34-100,1)&gt;999,999,-999)))</f>
        <v>7.6</v>
      </c>
      <c r="E34" s="392">
        <f>100/C$45*C34</f>
        <v>4.8787277486879352</v>
      </c>
      <c r="F34" s="101"/>
      <c r="G34" s="174">
        <f>'Danica Pensjonsforsikring'!F10+'Danica Pensjonsforsikring'!F28+'Danica Pensjonsforsikring'!F85+'Danica Pensjonsforsikring'!F133</f>
        <v>13128957.816</v>
      </c>
      <c r="H34" s="174">
        <f>'Danica Pensjonsforsikring'!G10+'Danica Pensjonsforsikring'!G28+'Danica Pensjonsforsikring'!G85+'Danica Pensjonsforsikring'!G133</f>
        <v>16087298.015000001</v>
      </c>
      <c r="I34" s="102">
        <f t="shared" ref="I34:I45" si="9">IF(G34=0, "    ---- ", IF(ABS(ROUND(100/G34*H34-100,1))&lt;999,ROUND(100/G34*H34-100,1),IF(ROUND(100/G34*H34-100,1)&gt;999,999,-999)))</f>
        <v>22.5</v>
      </c>
      <c r="J34" s="392">
        <f>100/H$45*H34</f>
        <v>5.925992898221093</v>
      </c>
      <c r="K34" s="205" t="s">
        <v>156</v>
      </c>
      <c r="L34" s="221">
        <f t="shared" ref="L34:L44" ca="1" si="10">INDIRECT("'" &amp; $A34 &amp; "'!" &amp; $P$33)</f>
        <v>0</v>
      </c>
      <c r="M34" s="219">
        <f t="shared" ref="M34:M44" ca="1" si="11">INDIRECT("'" &amp; $A34 &amp; "'!" &amp; $P$34)</f>
        <v>0</v>
      </c>
      <c r="N34" s="221">
        <f t="shared" ref="N34:N44" ca="1" si="12">INDIRECT("'" &amp; $A34 &amp; "'!" &amp; $P$35)</f>
        <v>0</v>
      </c>
      <c r="O34" s="219">
        <f t="shared" ref="O34:O44" ca="1" si="13">INDIRECT("'"&amp;$A34&amp;"'!"&amp;$P$36)</f>
        <v>0</v>
      </c>
      <c r="P34" s="85" t="s">
        <v>170</v>
      </c>
    </row>
    <row r="35" spans="1:20" ht="18.75" x14ac:dyDescent="0.3">
      <c r="A35" s="84" t="s">
        <v>92</v>
      </c>
      <c r="B35" s="128">
        <f>'DNB Livsforsikring'!F7+'DNB Livsforsikring'!F22+'DNB Livsforsikring'!F64+'DNB Livsforsikring'!F132</f>
        <v>5845636</v>
      </c>
      <c r="C35" s="128">
        <f>'DNB Livsforsikring'!G7+'DNB Livsforsikring'!G22+'DNB Livsforsikring'!G64+'DNB Livsforsikring'!G132</f>
        <v>6258891</v>
      </c>
      <c r="D35" s="102">
        <f t="shared" si="8"/>
        <v>7.1</v>
      </c>
      <c r="E35" s="392">
        <f t="shared" ref="E35:E44" si="14">100/C$45*C35</f>
        <v>23.733449219956299</v>
      </c>
      <c r="F35" s="101"/>
      <c r="G35" s="174">
        <f>'DNB Livsforsikring'!F10+'DNB Livsforsikring'!F28+'DNB Livsforsikring'!F85+'DNB Livsforsikring'!F133</f>
        <v>56416731</v>
      </c>
      <c r="H35" s="174">
        <f>'DNB Livsforsikring'!G10+'DNB Livsforsikring'!G28+'DNB Livsforsikring'!G85+'DNB Livsforsikring'!G133</f>
        <v>70689761</v>
      </c>
      <c r="I35" s="102">
        <f t="shared" si="9"/>
        <v>25.3</v>
      </c>
      <c r="J35" s="392">
        <f t="shared" ref="J35:J44" si="15">100/H$45*H35</f>
        <v>26.039613443621928</v>
      </c>
      <c r="K35" s="85" t="s">
        <v>164</v>
      </c>
      <c r="L35" s="221">
        <f t="shared" ca="1" si="10"/>
        <v>0</v>
      </c>
      <c r="M35" s="219">
        <f t="shared" ca="1" si="11"/>
        <v>0</v>
      </c>
      <c r="N35" s="221">
        <f t="shared" ca="1" si="12"/>
        <v>0</v>
      </c>
      <c r="O35" s="219">
        <f t="shared" ca="1" si="13"/>
        <v>0</v>
      </c>
      <c r="P35" s="85" t="s">
        <v>169</v>
      </c>
    </row>
    <row r="36" spans="1:20" ht="18.75" x14ac:dyDescent="0.3">
      <c r="A36" s="105" t="s">
        <v>94</v>
      </c>
      <c r="B36" s="128">
        <f>'Frende Livsforsikring'!F7+'Frende Livsforsikring'!F22+'Frende Livsforsikring'!F64+'Frende Livsforsikring'!F132</f>
        <v>226726</v>
      </c>
      <c r="C36" s="128">
        <f>'Frende Livsforsikring'!G7+'Frende Livsforsikring'!G22+'Frende Livsforsikring'!G64+'Frende Livsforsikring'!G132</f>
        <v>255316</v>
      </c>
      <c r="D36" s="102">
        <f t="shared" si="8"/>
        <v>12.6</v>
      </c>
      <c r="E36" s="392">
        <f t="shared" si="14"/>
        <v>0.96814744353949644</v>
      </c>
      <c r="F36" s="101"/>
      <c r="G36" s="174">
        <f>'Frende Livsforsikring'!F10+'Frende Livsforsikring'!F28+'Frende Livsforsikring'!F85+'Frende Livsforsikring'!F133</f>
        <v>2500425</v>
      </c>
      <c r="H36" s="174">
        <f>'Frende Livsforsikring'!G10+'Frende Livsforsikring'!G28+'Frende Livsforsikring'!G85+'Frende Livsforsikring'!G133</f>
        <v>3022527.8</v>
      </c>
      <c r="I36" s="102">
        <f t="shared" si="9"/>
        <v>20.9</v>
      </c>
      <c r="J36" s="392">
        <f t="shared" si="15"/>
        <v>1.1133925821958996</v>
      </c>
      <c r="K36" s="85" t="s">
        <v>157</v>
      </c>
      <c r="L36" s="221">
        <f t="shared" ca="1" si="10"/>
        <v>0</v>
      </c>
      <c r="M36" s="219">
        <f t="shared" ca="1" si="11"/>
        <v>0</v>
      </c>
      <c r="N36" s="221">
        <f t="shared" ca="1" si="12"/>
        <v>0</v>
      </c>
      <c r="O36" s="219">
        <f t="shared" ca="1" si="13"/>
        <v>0</v>
      </c>
      <c r="P36" s="85" t="s">
        <v>171</v>
      </c>
    </row>
    <row r="37" spans="1:20" ht="18.75" x14ac:dyDescent="0.3">
      <c r="A37" s="105" t="s">
        <v>97</v>
      </c>
      <c r="B37" s="128">
        <f>'Gjensidige Pensjon'!F7+'Gjensidige Pensjon'!F22+'Gjensidige Pensjon'!F64+'Gjensidige Pensjon'!F132</f>
        <v>1468168.62167</v>
      </c>
      <c r="C37" s="128">
        <f>'Gjensidige Pensjon'!G7+'Gjensidige Pensjon'!G22+'Gjensidige Pensjon'!G64+'Gjensidige Pensjon'!G132</f>
        <v>1851333.284</v>
      </c>
      <c r="D37" s="102">
        <f t="shared" si="8"/>
        <v>26.1</v>
      </c>
      <c r="E37" s="392">
        <f t="shared" si="14"/>
        <v>7.0201772941930018</v>
      </c>
      <c r="F37" s="101"/>
      <c r="G37" s="174">
        <f>'Gjensidige Pensjon'!F10+'Gjensidige Pensjon'!F28+'Gjensidige Pensjon'!F85+'Gjensidige Pensjon'!F133</f>
        <v>16856721.39872</v>
      </c>
      <c r="H37" s="174">
        <f>'Gjensidige Pensjon'!G10+'Gjensidige Pensjon'!G28+'Gjensidige Pensjon'!G85+'Gjensidige Pensjon'!G133</f>
        <v>21451220.490000002</v>
      </c>
      <c r="I37" s="102">
        <f t="shared" si="9"/>
        <v>27.3</v>
      </c>
      <c r="J37" s="392">
        <f t="shared" si="15"/>
        <v>7.9018726552704317</v>
      </c>
      <c r="K37" s="85" t="s">
        <v>165</v>
      </c>
      <c r="L37" s="221">
        <f t="shared" ca="1" si="10"/>
        <v>0</v>
      </c>
      <c r="M37" s="219">
        <f t="shared" ca="1" si="11"/>
        <v>0</v>
      </c>
      <c r="N37" s="221">
        <f t="shared" ca="1" si="12"/>
        <v>0</v>
      </c>
      <c r="O37" s="219">
        <f t="shared" ca="1" si="13"/>
        <v>0</v>
      </c>
    </row>
    <row r="38" spans="1:20" ht="18.75" x14ac:dyDescent="0.3">
      <c r="A38" s="105" t="s">
        <v>65</v>
      </c>
      <c r="B38" s="128">
        <f>KLP!F7+KLP!F22+KLP!F64+KLP!F132</f>
        <v>110318.236</v>
      </c>
      <c r="C38" s="128">
        <f>KLP!G7+KLP!G22+KLP!G64+KLP!G132</f>
        <v>84881.887000000002</v>
      </c>
      <c r="D38" s="102">
        <f t="shared" si="8"/>
        <v>-23.1</v>
      </c>
      <c r="E38" s="392">
        <f t="shared" si="14"/>
        <v>0.32186851549396989</v>
      </c>
      <c r="F38" s="101"/>
      <c r="G38" s="174">
        <f>KLP!F10+KLP!F28+KLP!F85+KLP!F133</f>
        <v>2160404.7961499998</v>
      </c>
      <c r="H38" s="174">
        <f>KLP!G10+KLP!G28+KLP!G85+KLP!G133</f>
        <v>2330198.9161499999</v>
      </c>
      <c r="I38" s="102">
        <f t="shared" si="9"/>
        <v>7.9</v>
      </c>
      <c r="J38" s="392">
        <f t="shared" si="15"/>
        <v>0.85836305237038202</v>
      </c>
      <c r="K38" s="85" t="s">
        <v>158</v>
      </c>
      <c r="L38" s="221">
        <f t="shared" ca="1" si="10"/>
        <v>0</v>
      </c>
      <c r="M38" s="219">
        <f t="shared" ca="1" si="11"/>
        <v>0</v>
      </c>
      <c r="N38" s="221">
        <f t="shared" ca="1" si="12"/>
        <v>0</v>
      </c>
      <c r="O38" s="219">
        <f t="shared" ca="1" si="13"/>
        <v>0</v>
      </c>
    </row>
    <row r="39" spans="1:20" ht="18.75" x14ac:dyDescent="0.3">
      <c r="A39" s="105" t="s">
        <v>100</v>
      </c>
      <c r="B39" s="128">
        <f>'KLP Bedriftspensjon AS'!F7+'KLP Bedriftspensjon AS'!F22+'KLP Bedriftspensjon AS'!F64+'KLP Bedriftspensjon AS'!F132</f>
        <v>199650</v>
      </c>
      <c r="C39" s="128">
        <f>'KLP Bedriftspensjon AS'!G7+'KLP Bedriftspensjon AS'!G22+'KLP Bedriftspensjon AS'!G64+'KLP Bedriftspensjon AS'!G132</f>
        <v>262322</v>
      </c>
      <c r="D39" s="102">
        <f t="shared" si="8"/>
        <v>31.4</v>
      </c>
      <c r="E39" s="392">
        <f t="shared" si="14"/>
        <v>0.99471389840107072</v>
      </c>
      <c r="F39" s="101"/>
      <c r="G39" s="174">
        <f>'KLP Bedriftspensjon AS'!F10+'KLP Bedriftspensjon AS'!F28+'KLP Bedriftspensjon AS'!F85+'KLP Bedriftspensjon AS'!F133</f>
        <v>1486637</v>
      </c>
      <c r="H39" s="174">
        <f>'KLP Bedriftspensjon AS'!G10+'KLP Bedriftspensjon AS'!G28+'KLP Bedriftspensjon AS'!G85+'KLP Bedriftspensjon AS'!G133</f>
        <v>2432471</v>
      </c>
      <c r="I39" s="102">
        <f t="shared" si="9"/>
        <v>63.6</v>
      </c>
      <c r="J39" s="392">
        <f t="shared" si="15"/>
        <v>0.89603647907114126</v>
      </c>
      <c r="K39" s="85" t="s">
        <v>166</v>
      </c>
      <c r="L39" s="221">
        <f t="shared" ca="1" si="10"/>
        <v>0</v>
      </c>
      <c r="M39" s="219">
        <f t="shared" ca="1" si="11"/>
        <v>0</v>
      </c>
      <c r="N39" s="221">
        <f t="shared" ca="1" si="12"/>
        <v>0</v>
      </c>
      <c r="O39" s="219">
        <f t="shared" ca="1" si="13"/>
        <v>0</v>
      </c>
    </row>
    <row r="40" spans="1:20" ht="18.75" x14ac:dyDescent="0.3">
      <c r="A40" s="105" t="s">
        <v>104</v>
      </c>
      <c r="B40" s="128">
        <f>'Nordea Liv '!F7+'Nordea Liv '!F22+'Nordea Liv '!F64+'Nordea Liv '!F132</f>
        <v>6359161.8999500005</v>
      </c>
      <c r="C40" s="128">
        <f>'Nordea Liv '!G7+'Nordea Liv '!G22+'Nordea Liv '!G64+'Nordea Liv '!G132</f>
        <v>6592823.6751499996</v>
      </c>
      <c r="D40" s="102">
        <f t="shared" si="8"/>
        <v>3.7</v>
      </c>
      <c r="E40" s="392">
        <f t="shared" si="14"/>
        <v>24.999707761374687</v>
      </c>
      <c r="F40" s="101"/>
      <c r="G40" s="174">
        <f>'Nordea Liv '!F10+'Nordea Liv '!F28+'Nordea Liv '!F85+'Nordea Liv '!F133</f>
        <v>44252990</v>
      </c>
      <c r="H40" s="174">
        <f>'Nordea Liv '!G10+'Nordea Liv '!G28+'Nordea Liv '!G85+'Nordea Liv '!G133</f>
        <v>54647570</v>
      </c>
      <c r="I40" s="102">
        <f t="shared" si="9"/>
        <v>23.5</v>
      </c>
      <c r="J40" s="392">
        <f t="shared" si="15"/>
        <v>20.130236377985071</v>
      </c>
      <c r="K40" s="205"/>
      <c r="L40" s="221">
        <f t="shared" ca="1" si="10"/>
        <v>0</v>
      </c>
      <c r="M40" s="219">
        <f t="shared" ca="1" si="11"/>
        <v>0</v>
      </c>
      <c r="N40" s="221">
        <f t="shared" ca="1" si="12"/>
        <v>0</v>
      </c>
      <c r="O40" s="219">
        <f t="shared" ca="1" si="13"/>
        <v>0</v>
      </c>
    </row>
    <row r="41" spans="1:20" ht="18.75" x14ac:dyDescent="0.3">
      <c r="A41" s="105" t="s">
        <v>76</v>
      </c>
      <c r="B41" s="128">
        <f>'SHB Liv'!F7+'SHB Liv'!F22+'SHB Liv'!F64+'SHB Liv'!F132</f>
        <v>90696</v>
      </c>
      <c r="C41" s="128">
        <f>'SHB Liv'!G7+'SHB Liv'!G22+'SHB Liv'!G64+'SHB Liv'!G132</f>
        <v>84302</v>
      </c>
      <c r="D41" s="102">
        <f t="shared" si="8"/>
        <v>-7</v>
      </c>
      <c r="E41" s="392">
        <f t="shared" si="14"/>
        <v>0.31966960858413351</v>
      </c>
      <c r="F41" s="101"/>
      <c r="G41" s="174">
        <f>'SHB Liv'!F10+'SHB Liv'!F28+'SHB Liv'!F85+'SHB Liv'!F133</f>
        <v>1612357</v>
      </c>
      <c r="H41" s="174">
        <f>'SHB Liv'!G10+'SHB Liv'!G28+'SHB Liv'!G85+'SHB Liv'!G133</f>
        <v>1949500</v>
      </c>
      <c r="I41" s="102">
        <f t="shared" si="9"/>
        <v>20.9</v>
      </c>
      <c r="J41" s="392">
        <f t="shared" si="15"/>
        <v>0.71812700580980815</v>
      </c>
      <c r="K41" s="205"/>
      <c r="L41" s="221">
        <f t="shared" ca="1" si="10"/>
        <v>0</v>
      </c>
      <c r="M41" s="219">
        <f t="shared" ca="1" si="11"/>
        <v>0</v>
      </c>
      <c r="N41" s="221">
        <f t="shared" ca="1" si="12"/>
        <v>0</v>
      </c>
      <c r="O41" s="219">
        <f t="shared" ca="1" si="13"/>
        <v>0</v>
      </c>
    </row>
    <row r="42" spans="1:20" ht="18.75" x14ac:dyDescent="0.3">
      <c r="A42" s="105" t="s">
        <v>106</v>
      </c>
      <c r="B42" s="128">
        <f>'Silver Pensjonsforsikring AS'!F7+'Silver Pensjonsforsikring AS'!F22+'Silver Pensjonsforsikring AS'!F64+'Silver Pensjonsforsikring AS'!F132</f>
        <v>-0.69540974</v>
      </c>
      <c r="C42" s="128">
        <f>'Silver Pensjonsforsikring AS'!G7+'Silver Pensjonsforsikring AS'!G22+'Silver Pensjonsforsikring AS'!G64+'Silver Pensjonsforsikring AS'!G132</f>
        <v>0</v>
      </c>
      <c r="D42" s="102">
        <f t="shared" si="8"/>
        <v>-100</v>
      </c>
      <c r="E42" s="392">
        <f t="shared" si="14"/>
        <v>0</v>
      </c>
      <c r="F42" s="101"/>
      <c r="G42" s="174">
        <f>'Silver Pensjonsforsikring AS'!F10+'Silver Pensjonsforsikring AS'!F28+'Silver Pensjonsforsikring AS'!F85+'Silver Pensjonsforsikring AS'!F133</f>
        <v>432248.26272</v>
      </c>
      <c r="H42" s="174">
        <f>'Silver Pensjonsforsikring AS'!G10+'Silver Pensjonsforsikring AS'!G28+'Silver Pensjonsforsikring AS'!G85+'Silver Pensjonsforsikring AS'!G133</f>
        <v>0</v>
      </c>
      <c r="I42" s="102">
        <f t="shared" si="9"/>
        <v>-100</v>
      </c>
      <c r="J42" s="392">
        <f t="shared" si="15"/>
        <v>0</v>
      </c>
      <c r="K42" s="137"/>
      <c r="L42" s="221">
        <f t="shared" ca="1" si="10"/>
        <v>0</v>
      </c>
      <c r="M42" s="219">
        <f t="shared" ca="1" si="11"/>
        <v>0</v>
      </c>
      <c r="N42" s="221">
        <f t="shared" ca="1" si="12"/>
        <v>0</v>
      </c>
      <c r="O42" s="219">
        <f t="shared" ca="1" si="13"/>
        <v>0</v>
      </c>
    </row>
    <row r="43" spans="1:20" ht="18.75" x14ac:dyDescent="0.3">
      <c r="A43" s="84" t="s">
        <v>72</v>
      </c>
      <c r="B43" s="128">
        <f>'Sparebank 1'!F7+'Sparebank 1'!F22+'Sparebank 1'!F64+'Sparebank 1'!F132</f>
        <v>1535857.55262</v>
      </c>
      <c r="C43" s="128">
        <f>'Sparebank 1'!G7+'Sparebank 1'!G22+'Sparebank 1'!G64+'Sparebank 1'!G132</f>
        <v>2157471.7934900001</v>
      </c>
      <c r="D43" s="102">
        <f t="shared" si="8"/>
        <v>40.5</v>
      </c>
      <c r="E43" s="392">
        <f t="shared" si="14"/>
        <v>8.1810415382346413</v>
      </c>
      <c r="F43" s="101"/>
      <c r="G43" s="174">
        <f>'Sparebank 1'!F10+'Sparebank 1'!F28+'Sparebank 1'!F85+'Sparebank 1'!F133</f>
        <v>18158905.377149999</v>
      </c>
      <c r="H43" s="174">
        <f>'Sparebank 1'!G10+'Sparebank 1'!G28+'Sparebank 1'!G85+'Sparebank 1'!G133</f>
        <v>23504999.904489998</v>
      </c>
      <c r="I43" s="102">
        <f t="shared" si="9"/>
        <v>29.4</v>
      </c>
      <c r="J43" s="392">
        <f t="shared" si="15"/>
        <v>8.6584125175538489</v>
      </c>
      <c r="K43" s="137"/>
      <c r="L43" s="221">
        <f t="shared" ca="1" si="10"/>
        <v>0</v>
      </c>
      <c r="M43" s="219">
        <f t="shared" ca="1" si="11"/>
        <v>0</v>
      </c>
      <c r="N43" s="221">
        <f t="shared" ca="1" si="12"/>
        <v>0</v>
      </c>
      <c r="O43" s="219">
        <f t="shared" ca="1" si="13"/>
        <v>0</v>
      </c>
    </row>
    <row r="44" spans="1:20" ht="18.75" x14ac:dyDescent="0.3">
      <c r="A44" s="84" t="s">
        <v>107</v>
      </c>
      <c r="B44" s="128">
        <f>'Storebrand Livsforsikring'!F7+'Storebrand Livsforsikring'!F22+'Storebrand Livsforsikring'!F64+'Storebrand Livsforsikring'!F132</f>
        <v>7164503.4420000007</v>
      </c>
      <c r="C44" s="128">
        <f>'Storebrand Livsforsikring'!G7+'Storebrand Livsforsikring'!G22+'Storebrand Livsforsikring'!G64+'Storebrand Livsforsikring'!G132</f>
        <v>7537662.6210000012</v>
      </c>
      <c r="D44" s="102">
        <f t="shared" si="8"/>
        <v>5.2</v>
      </c>
      <c r="E44" s="392">
        <f t="shared" si="14"/>
        <v>28.58249697153477</v>
      </c>
      <c r="F44" s="101"/>
      <c r="G44" s="174">
        <f>'Storebrand Livsforsikring'!F10+'Storebrand Livsforsikring'!F28+'Storebrand Livsforsikring'!F85+'Storebrand Livsforsikring'!F133</f>
        <v>61277517.591000006</v>
      </c>
      <c r="H44" s="174">
        <f>'Storebrand Livsforsikring'!G10+'Storebrand Livsforsikring'!G28+'Storebrand Livsforsikring'!G85+'Storebrand Livsforsikring'!G133</f>
        <v>75354538.838</v>
      </c>
      <c r="I44" s="102">
        <f t="shared" si="9"/>
        <v>23</v>
      </c>
      <c r="J44" s="392">
        <f t="shared" si="15"/>
        <v>27.757952987900406</v>
      </c>
      <c r="K44" s="137"/>
      <c r="L44" s="221">
        <f t="shared" ca="1" si="10"/>
        <v>0</v>
      </c>
      <c r="M44" s="219">
        <f t="shared" ca="1" si="11"/>
        <v>0</v>
      </c>
      <c r="N44" s="221">
        <f t="shared" ca="1" si="12"/>
        <v>0</v>
      </c>
      <c r="O44" s="219">
        <f t="shared" ca="1" si="13"/>
        <v>0</v>
      </c>
    </row>
    <row r="45" spans="1:20" s="109" customFormat="1" ht="18.75" x14ac:dyDescent="0.3">
      <c r="A45" s="99" t="s">
        <v>111</v>
      </c>
      <c r="B45" s="240">
        <f>SUM(B34:B44)</f>
        <v>24196452.829830263</v>
      </c>
      <c r="C45" s="240">
        <f>SUM(C34:C44)</f>
        <v>26371602.97264</v>
      </c>
      <c r="D45" s="102">
        <f t="shared" si="8"/>
        <v>9</v>
      </c>
      <c r="E45" s="393">
        <f>SUM(E34:E44)</f>
        <v>100</v>
      </c>
      <c r="F45" s="107"/>
      <c r="G45" s="176">
        <f>SUM(G34:G44)</f>
        <v>218283895.24173999</v>
      </c>
      <c r="H45" s="176">
        <f>SUM(H34:H44)</f>
        <v>271470085.96363997</v>
      </c>
      <c r="I45" s="102">
        <f t="shared" si="9"/>
        <v>24.4</v>
      </c>
      <c r="J45" s="393">
        <f>SUM(J34:J44)</f>
        <v>100</v>
      </c>
      <c r="K45" s="137"/>
      <c r="L45" s="221">
        <f ca="1">SUM(L34:L44)</f>
        <v>0</v>
      </c>
      <c r="M45" s="219">
        <f ca="1">SUM(M34:M44)</f>
        <v>0</v>
      </c>
      <c r="N45" s="221">
        <f ca="1">SUM(N34:N44)</f>
        <v>0</v>
      </c>
      <c r="O45" s="219">
        <f ca="1">SUM(O34:O44)</f>
        <v>0</v>
      </c>
    </row>
    <row r="46" spans="1:20" ht="18.75" x14ac:dyDescent="0.3">
      <c r="A46" s="99"/>
      <c r="B46" s="128"/>
      <c r="C46" s="107"/>
      <c r="D46" s="108"/>
      <c r="E46" s="392"/>
      <c r="F46" s="107"/>
      <c r="G46" s="176"/>
      <c r="H46" s="107"/>
      <c r="I46" s="108"/>
      <c r="J46" s="393"/>
      <c r="K46" s="137"/>
      <c r="L46" s="218" t="s">
        <v>112</v>
      </c>
      <c r="M46" s="224"/>
      <c r="N46" s="225"/>
      <c r="O46" s="224"/>
    </row>
    <row r="47" spans="1:20" ht="18.75" x14ac:dyDescent="0.3">
      <c r="A47" s="84"/>
      <c r="B47" s="128"/>
      <c r="C47" s="101"/>
      <c r="D47" s="102"/>
      <c r="E47" s="392"/>
      <c r="F47" s="101"/>
      <c r="G47" s="174"/>
      <c r="H47" s="101"/>
      <c r="I47" s="102"/>
      <c r="J47" s="392"/>
      <c r="K47" s="137"/>
      <c r="L47" s="222">
        <v>2015</v>
      </c>
      <c r="M47" s="223">
        <v>2016</v>
      </c>
      <c r="N47" s="222">
        <v>2015</v>
      </c>
      <c r="O47" s="223">
        <v>2016</v>
      </c>
    </row>
    <row r="48" spans="1:20" ht="18.75" x14ac:dyDescent="0.3">
      <c r="A48" s="99" t="s">
        <v>112</v>
      </c>
      <c r="B48" s="128"/>
      <c r="C48" s="101"/>
      <c r="D48" s="102"/>
      <c r="E48" s="392"/>
      <c r="F48" s="101"/>
      <c r="G48" s="174"/>
      <c r="H48" s="101"/>
      <c r="I48" s="102"/>
      <c r="J48" s="392"/>
      <c r="K48" s="137"/>
      <c r="L48" s="221"/>
      <c r="M48" s="219"/>
      <c r="N48" s="221"/>
      <c r="O48" s="219"/>
      <c r="P48" s="205"/>
      <c r="Q48" s="205"/>
      <c r="R48" s="205"/>
      <c r="S48" s="180"/>
      <c r="T48" s="137"/>
    </row>
    <row r="49" spans="1:20" ht="18.75" x14ac:dyDescent="0.3">
      <c r="A49" s="84" t="s">
        <v>90</v>
      </c>
      <c r="B49" s="128">
        <f>B9</f>
        <v>0</v>
      </c>
      <c r="C49" s="178">
        <f>C9</f>
        <v>0</v>
      </c>
      <c r="D49" s="102"/>
      <c r="E49" s="392">
        <f t="shared" ref="E49:E71" si="16">100/C$72*C49</f>
        <v>0</v>
      </c>
      <c r="F49" s="101"/>
      <c r="G49" s="174">
        <f>G9</f>
        <v>0</v>
      </c>
      <c r="H49" s="174">
        <f>H9</f>
        <v>0</v>
      </c>
      <c r="I49" s="102"/>
      <c r="J49" s="392">
        <f>100/H$72*H49</f>
        <v>0</v>
      </c>
      <c r="K49" s="137"/>
      <c r="L49" s="221">
        <f ca="1">L9</f>
        <v>0</v>
      </c>
      <c r="M49" s="226">
        <f ca="1">M9</f>
        <v>0</v>
      </c>
      <c r="N49" s="221">
        <f ca="1">N9</f>
        <v>0</v>
      </c>
      <c r="O49" s="226">
        <f ca="1">O9</f>
        <v>0</v>
      </c>
      <c r="P49" s="205"/>
      <c r="Q49" s="205"/>
      <c r="R49" s="205"/>
      <c r="S49" s="180"/>
      <c r="T49" s="137"/>
    </row>
    <row r="50" spans="1:20" ht="18.75" x14ac:dyDescent="0.3">
      <c r="A50" s="105" t="s">
        <v>91</v>
      </c>
      <c r="B50" s="128">
        <f>B10+B34</f>
        <v>1491699.0390000001</v>
      </c>
      <c r="C50" s="101">
        <f>C10+C34</f>
        <v>1583544.0350000001</v>
      </c>
      <c r="D50" s="102">
        <f t="shared" ref="D49:D71" si="17">IF(B50=0, "    ---- ", IF(ABS(ROUND(100/B50*C50-100,1))&lt;999,ROUND(100/B50*C50-100,1),IF(ROUND(100/B50*C50-100,1)&gt;999,999,-999)))</f>
        <v>6.2</v>
      </c>
      <c r="E50" s="392">
        <f t="shared" si="16"/>
        <v>2.3149340876288034</v>
      </c>
      <c r="F50" s="101"/>
      <c r="G50" s="174">
        <f>G10+G34</f>
        <v>14050512.1</v>
      </c>
      <c r="H50" s="174">
        <f>H10+H34</f>
        <v>17094443.431000002</v>
      </c>
      <c r="I50" s="102">
        <f t="shared" ref="I49:I71" si="18">IF(G50=0, "    ---- ", IF(ABS(ROUND(100/G50*H50-100,1))&lt;999,ROUND(100/G50*H50-100,1),IF(ROUND(100/G50*H50-100,1)&gt;999,999,-999)))</f>
        <v>21.7</v>
      </c>
      <c r="J50" s="392">
        <f>100/H$72*H50</f>
        <v>1.3831992575943923</v>
      </c>
      <c r="K50" s="137"/>
      <c r="L50" s="221">
        <f ca="1">L10+L34</f>
        <v>0</v>
      </c>
      <c r="M50" s="219">
        <f ca="1">M10+M34</f>
        <v>0</v>
      </c>
      <c r="N50" s="221">
        <f ca="1">N10+N34</f>
        <v>0</v>
      </c>
      <c r="O50" s="219">
        <f ca="1">O10+O34</f>
        <v>0</v>
      </c>
      <c r="P50" s="205"/>
      <c r="Q50" s="205"/>
      <c r="R50" s="205"/>
      <c r="S50" s="180"/>
      <c r="T50" s="137"/>
    </row>
    <row r="51" spans="1:20" ht="18.75" x14ac:dyDescent="0.3">
      <c r="A51" s="84" t="s">
        <v>92</v>
      </c>
      <c r="B51" s="128">
        <f>B11+B35</f>
        <v>11449369</v>
      </c>
      <c r="C51" s="101">
        <f>+C11+C35</f>
        <v>10246194.293</v>
      </c>
      <c r="D51" s="102">
        <f t="shared" si="17"/>
        <v>-10.5</v>
      </c>
      <c r="E51" s="392">
        <f t="shared" si="16"/>
        <v>14.978594793123897</v>
      </c>
      <c r="F51" s="101"/>
      <c r="G51" s="174">
        <f>+G11+G35</f>
        <v>261626385</v>
      </c>
      <c r="H51" s="174">
        <f>+H11+H35</f>
        <v>273652785</v>
      </c>
      <c r="I51" s="102">
        <f t="shared" si="18"/>
        <v>4.5999999999999996</v>
      </c>
      <c r="J51" s="392">
        <f>100/H$72*H51</f>
        <v>22.142652995897809</v>
      </c>
      <c r="K51" s="137"/>
      <c r="L51" s="221">
        <f ca="1">L11+L35</f>
        <v>0</v>
      </c>
      <c r="M51" s="219">
        <f ca="1">+M11+M35</f>
        <v>0</v>
      </c>
      <c r="N51" s="221">
        <f ca="1">+N11+N35</f>
        <v>0</v>
      </c>
      <c r="O51" s="219">
        <f ca="1">+O11+O35</f>
        <v>0</v>
      </c>
      <c r="P51" s="205"/>
      <c r="Q51" s="205"/>
      <c r="R51" s="205"/>
      <c r="S51" s="180"/>
      <c r="T51" s="137"/>
    </row>
    <row r="52" spans="1:20" ht="18.75" x14ac:dyDescent="0.3">
      <c r="A52" s="84" t="s">
        <v>93</v>
      </c>
      <c r="B52" s="128">
        <f>B12</f>
        <v>302208</v>
      </c>
      <c r="C52" s="101">
        <f>C12</f>
        <v>210802</v>
      </c>
      <c r="D52" s="102">
        <f t="shared" si="17"/>
        <v>-30.2</v>
      </c>
      <c r="E52" s="392">
        <f t="shared" si="16"/>
        <v>0.30816492926912953</v>
      </c>
      <c r="F52" s="101"/>
      <c r="G52" s="174">
        <f>G12</f>
        <v>0</v>
      </c>
      <c r="H52" s="174">
        <f>H12</f>
        <v>0</v>
      </c>
      <c r="I52" s="102"/>
      <c r="J52" s="392">
        <f>100/H$72*H52</f>
        <v>0</v>
      </c>
      <c r="K52" s="137"/>
      <c r="L52" s="221">
        <f ca="1">L12</f>
        <v>0</v>
      </c>
      <c r="M52" s="219">
        <f ca="1">M12</f>
        <v>0</v>
      </c>
      <c r="N52" s="221">
        <f ca="1">N12</f>
        <v>0</v>
      </c>
      <c r="O52" s="219">
        <f ca="1">+O12+O36</f>
        <v>0</v>
      </c>
      <c r="P52" s="205"/>
      <c r="Q52" s="205"/>
      <c r="R52" s="205"/>
      <c r="S52" s="180"/>
      <c r="T52" s="137"/>
    </row>
    <row r="53" spans="1:20" ht="18.75" x14ac:dyDescent="0.3">
      <c r="A53" s="105" t="s">
        <v>94</v>
      </c>
      <c r="B53" s="128">
        <f>B13+B36</f>
        <v>680749</v>
      </c>
      <c r="C53" s="103">
        <f>C13+C36</f>
        <v>748307.8</v>
      </c>
      <c r="D53" s="104">
        <f t="shared" si="17"/>
        <v>9.9</v>
      </c>
      <c r="E53" s="394">
        <f t="shared" si="16"/>
        <v>1.0939280474499196</v>
      </c>
      <c r="F53" s="103"/>
      <c r="G53" s="175">
        <f>G13+G36</f>
        <v>3238585</v>
      </c>
      <c r="H53" s="175">
        <f>H13+H36</f>
        <v>3904670.8</v>
      </c>
      <c r="I53" s="102">
        <f t="shared" si="18"/>
        <v>20.6</v>
      </c>
      <c r="J53" s="392">
        <f t="shared" ref="J53:J71" si="19">100/H$72*H53</f>
        <v>0.31594697853199155</v>
      </c>
      <c r="K53" s="137"/>
      <c r="L53" s="221">
        <f ca="1">L13+L36</f>
        <v>0</v>
      </c>
      <c r="M53" s="219">
        <f ca="1">M13+M36</f>
        <v>0</v>
      </c>
      <c r="N53" s="221">
        <f ca="1">N13+N36</f>
        <v>0</v>
      </c>
      <c r="O53" s="219">
        <f ca="1">O13+O36</f>
        <v>0</v>
      </c>
      <c r="P53" s="208"/>
      <c r="Q53" s="208"/>
      <c r="R53" s="208"/>
      <c r="S53" s="180"/>
      <c r="T53" s="137"/>
    </row>
    <row r="54" spans="1:20" ht="18.75" x14ac:dyDescent="0.3">
      <c r="A54" s="105" t="s">
        <v>95</v>
      </c>
      <c r="B54" s="128">
        <f>B14</f>
        <v>4460</v>
      </c>
      <c r="C54" s="103">
        <f>C14</f>
        <v>5631</v>
      </c>
      <c r="D54" s="104">
        <f t="shared" si="17"/>
        <v>26.3</v>
      </c>
      <c r="E54" s="394">
        <f t="shared" si="16"/>
        <v>8.2317848820906269E-3</v>
      </c>
      <c r="F54" s="103"/>
      <c r="G54" s="175">
        <f>G14</f>
        <v>0</v>
      </c>
      <c r="H54" s="175">
        <f>H14</f>
        <v>0</v>
      </c>
      <c r="I54" s="102"/>
      <c r="J54" s="392">
        <f t="shared" si="19"/>
        <v>0</v>
      </c>
      <c r="K54" s="137"/>
      <c r="L54" s="221">
        <f ca="1">L14</f>
        <v>0</v>
      </c>
      <c r="M54" s="219">
        <f ca="1">M14</f>
        <v>0</v>
      </c>
      <c r="N54" s="221">
        <f ca="1">N14</f>
        <v>0</v>
      </c>
      <c r="O54" s="219">
        <f ca="1">O14</f>
        <v>0</v>
      </c>
      <c r="P54" s="208"/>
      <c r="Q54" s="208"/>
      <c r="R54" s="208"/>
      <c r="S54" s="180"/>
      <c r="T54" s="137"/>
    </row>
    <row r="55" spans="1:20" ht="18.75" x14ac:dyDescent="0.3">
      <c r="A55" s="84" t="s">
        <v>96</v>
      </c>
      <c r="B55" s="101">
        <f>B15</f>
        <v>1280022</v>
      </c>
      <c r="C55" s="101">
        <f>+C15</f>
        <v>1345481</v>
      </c>
      <c r="D55" s="102">
        <f t="shared" si="17"/>
        <v>5.0999999999999996</v>
      </c>
      <c r="E55" s="392">
        <f t="shared" si="16"/>
        <v>1.9669170937560254</v>
      </c>
      <c r="F55" s="101"/>
      <c r="G55" s="174">
        <f>+G15</f>
        <v>0</v>
      </c>
      <c r="H55" s="174">
        <f>+H15</f>
        <v>0</v>
      </c>
      <c r="I55" s="102"/>
      <c r="J55" s="392">
        <f t="shared" si="19"/>
        <v>0</v>
      </c>
      <c r="K55" s="137"/>
      <c r="L55" s="221">
        <f ca="1">L15</f>
        <v>0</v>
      </c>
      <c r="M55" s="219">
        <f ca="1">+M15</f>
        <v>0</v>
      </c>
      <c r="N55" s="221">
        <f ca="1">+N15</f>
        <v>0</v>
      </c>
      <c r="O55" s="219">
        <f ca="1">+O15</f>
        <v>0</v>
      </c>
      <c r="P55" s="205"/>
      <c r="Q55" s="205"/>
      <c r="R55" s="205"/>
      <c r="S55" s="180"/>
      <c r="T55" s="137"/>
    </row>
    <row r="56" spans="1:20" ht="18.75" x14ac:dyDescent="0.3">
      <c r="A56" s="84" t="s">
        <v>97</v>
      </c>
      <c r="B56" s="101">
        <f>B16+B37</f>
        <v>1817905.98814</v>
      </c>
      <c r="C56" s="101">
        <f>C16+C37</f>
        <v>2248982.6430000002</v>
      </c>
      <c r="D56" s="102">
        <f t="shared" si="17"/>
        <v>23.7</v>
      </c>
      <c r="E56" s="392">
        <f t="shared" si="16"/>
        <v>3.2877182242464258</v>
      </c>
      <c r="F56" s="101"/>
      <c r="G56" s="174">
        <f>G16+G37</f>
        <v>22075306.170060001</v>
      </c>
      <c r="H56" s="174">
        <f>H16+H37</f>
        <v>27301038.568000004</v>
      </c>
      <c r="I56" s="102">
        <f t="shared" si="18"/>
        <v>23.7</v>
      </c>
      <c r="J56" s="392">
        <f t="shared" si="19"/>
        <v>2.2090673165955428</v>
      </c>
      <c r="K56" s="137"/>
      <c r="L56" s="221">
        <f ca="1">L16+L37</f>
        <v>0</v>
      </c>
      <c r="M56" s="219">
        <f ca="1">M16+M37</f>
        <v>0</v>
      </c>
      <c r="N56" s="221">
        <f ca="1">N16+N37</f>
        <v>0</v>
      </c>
      <c r="O56" s="219">
        <f ca="1">O16+O37</f>
        <v>0</v>
      </c>
      <c r="P56" s="205"/>
      <c r="Q56" s="205"/>
      <c r="R56" s="205"/>
      <c r="S56" s="180"/>
      <c r="T56" s="137"/>
    </row>
    <row r="57" spans="1:20" ht="18.75" x14ac:dyDescent="0.3">
      <c r="A57" s="84" t="s">
        <v>98</v>
      </c>
      <c r="B57" s="101">
        <f>B17</f>
        <v>29736</v>
      </c>
      <c r="C57" s="101">
        <f>+C17</f>
        <v>28772</v>
      </c>
      <c r="D57" s="102">
        <f t="shared" si="17"/>
        <v>-3.2</v>
      </c>
      <c r="E57" s="392">
        <f t="shared" si="16"/>
        <v>4.2060897642960671E-2</v>
      </c>
      <c r="F57" s="101"/>
      <c r="G57" s="174">
        <f>+G17</f>
        <v>23804</v>
      </c>
      <c r="H57" s="174">
        <f>+H17</f>
        <v>24751</v>
      </c>
      <c r="I57" s="102">
        <f t="shared" si="18"/>
        <v>4</v>
      </c>
      <c r="J57" s="392">
        <f t="shared" si="19"/>
        <v>2.0027305927161191E-3</v>
      </c>
      <c r="K57" s="137"/>
      <c r="L57" s="221">
        <f ca="1">L17</f>
        <v>0</v>
      </c>
      <c r="M57" s="219">
        <f t="shared" ref="M57:O58" ca="1" si="20">+M17</f>
        <v>0</v>
      </c>
      <c r="N57" s="221">
        <f t="shared" ca="1" si="20"/>
        <v>0</v>
      </c>
      <c r="O57" s="219">
        <f t="shared" ca="1" si="20"/>
        <v>0</v>
      </c>
      <c r="P57" s="205"/>
      <c r="Q57" s="205"/>
      <c r="R57" s="205"/>
      <c r="S57" s="180"/>
      <c r="T57" s="137"/>
    </row>
    <row r="58" spans="1:20" ht="18.75" x14ac:dyDescent="0.3">
      <c r="A58" s="84" t="s">
        <v>99</v>
      </c>
      <c r="B58" s="101">
        <f>B18</f>
        <v>334860.86629999999</v>
      </c>
      <c r="C58" s="101">
        <f>+C18</f>
        <v>349378.46600000001</v>
      </c>
      <c r="D58" s="102">
        <f t="shared" si="17"/>
        <v>4.3</v>
      </c>
      <c r="E58" s="392">
        <f t="shared" si="16"/>
        <v>0.51074558240930823</v>
      </c>
      <c r="F58" s="101"/>
      <c r="G58" s="174">
        <f>+G18</f>
        <v>0</v>
      </c>
      <c r="H58" s="174">
        <f>+H18</f>
        <v>0</v>
      </c>
      <c r="I58" s="102"/>
      <c r="J58" s="392">
        <f t="shared" si="19"/>
        <v>0</v>
      </c>
      <c r="K58" s="137"/>
      <c r="L58" s="221">
        <f ca="1">L18</f>
        <v>0</v>
      </c>
      <c r="M58" s="219">
        <f t="shared" ca="1" si="20"/>
        <v>0</v>
      </c>
      <c r="N58" s="221">
        <f t="shared" ca="1" si="20"/>
        <v>0</v>
      </c>
      <c r="O58" s="219">
        <f t="shared" ca="1" si="20"/>
        <v>0</v>
      </c>
      <c r="P58" s="205"/>
      <c r="Q58" s="205"/>
      <c r="R58" s="205"/>
      <c r="S58" s="180"/>
      <c r="T58" s="137"/>
    </row>
    <row r="59" spans="1:20" ht="18.75" x14ac:dyDescent="0.3">
      <c r="A59" s="84" t="s">
        <v>65</v>
      </c>
      <c r="B59" s="103">
        <f>B19+B38</f>
        <v>26188369.324160002</v>
      </c>
      <c r="C59" s="103">
        <f>C19+C38</f>
        <v>23780774.369169999</v>
      </c>
      <c r="D59" s="104">
        <f t="shared" si="17"/>
        <v>-9.1999999999999993</v>
      </c>
      <c r="E59" s="394">
        <f t="shared" si="16"/>
        <v>34.764379139858264</v>
      </c>
      <c r="F59" s="103"/>
      <c r="G59" s="175">
        <f>G19+G38</f>
        <v>418736668.48035002</v>
      </c>
      <c r="H59" s="175">
        <f>H19+H38</f>
        <v>441370496.30391997</v>
      </c>
      <c r="I59" s="102">
        <f t="shared" si="18"/>
        <v>5.4</v>
      </c>
      <c r="J59" s="392">
        <f t="shared" si="19"/>
        <v>35.7135548329424</v>
      </c>
      <c r="K59" s="137"/>
      <c r="L59" s="221">
        <f ca="1">L19+L38</f>
        <v>0</v>
      </c>
      <c r="M59" s="219">
        <f ca="1">M19+M38</f>
        <v>0</v>
      </c>
      <c r="N59" s="221">
        <f ca="1">N19+N38</f>
        <v>0</v>
      </c>
      <c r="O59" s="219">
        <f ca="1">O19+O38</f>
        <v>0</v>
      </c>
      <c r="P59" s="208"/>
      <c r="Q59" s="208"/>
      <c r="R59" s="208"/>
      <c r="S59" s="180"/>
      <c r="T59" s="137"/>
    </row>
    <row r="60" spans="1:20" ht="18.75" x14ac:dyDescent="0.3">
      <c r="A60" s="84" t="s">
        <v>100</v>
      </c>
      <c r="B60" s="101">
        <f>B20+B39</f>
        <v>282114</v>
      </c>
      <c r="C60" s="101">
        <f>+C20+C39</f>
        <v>323646</v>
      </c>
      <c r="D60" s="102">
        <f t="shared" si="17"/>
        <v>14.7</v>
      </c>
      <c r="E60" s="392">
        <f t="shared" si="16"/>
        <v>0.47312808558854613</v>
      </c>
      <c r="F60" s="101"/>
      <c r="G60" s="174">
        <f>G20+G39</f>
        <v>2951741</v>
      </c>
      <c r="H60" s="174">
        <f>H20+H39</f>
        <v>3972141</v>
      </c>
      <c r="I60" s="102">
        <f t="shared" si="18"/>
        <v>34.6</v>
      </c>
      <c r="J60" s="392">
        <f t="shared" si="19"/>
        <v>0.32140633910880362</v>
      </c>
      <c r="K60" s="137"/>
      <c r="L60" s="221">
        <f ca="1">L20+L39</f>
        <v>0</v>
      </c>
      <c r="M60" s="219">
        <f ca="1">+M20+M39</f>
        <v>0</v>
      </c>
      <c r="N60" s="221">
        <f ca="1">N20+N39</f>
        <v>0</v>
      </c>
      <c r="O60" s="219">
        <f ca="1">O20+O39</f>
        <v>0</v>
      </c>
      <c r="P60" s="205"/>
      <c r="Q60" s="205"/>
      <c r="R60" s="205"/>
      <c r="S60" s="180"/>
      <c r="T60" s="137"/>
    </row>
    <row r="61" spans="1:20" ht="18.75" x14ac:dyDescent="0.3">
      <c r="A61" s="84" t="s">
        <v>101</v>
      </c>
      <c r="B61" s="101">
        <f t="shared" ref="B61:C63" si="21">B21</f>
        <v>122502</v>
      </c>
      <c r="C61" s="101">
        <f t="shared" si="21"/>
        <v>138577.38699999999</v>
      </c>
      <c r="D61" s="102">
        <f t="shared" si="17"/>
        <v>13.1</v>
      </c>
      <c r="E61" s="392">
        <f t="shared" si="16"/>
        <v>0.20258199952161643</v>
      </c>
      <c r="F61" s="101"/>
      <c r="G61" s="174">
        <f t="shared" ref="G61:H63" si="22">G21</f>
        <v>2909</v>
      </c>
      <c r="H61" s="174">
        <f t="shared" si="22"/>
        <v>4442</v>
      </c>
      <c r="I61" s="102">
        <f t="shared" si="18"/>
        <v>52.7</v>
      </c>
      <c r="J61" s="392">
        <f t="shared" si="19"/>
        <v>3.594250451636298E-4</v>
      </c>
      <c r="K61" s="137"/>
      <c r="L61" s="221">
        <f t="shared" ref="L61:O63" ca="1" si="23">L21</f>
        <v>0</v>
      </c>
      <c r="M61" s="219">
        <f t="shared" ca="1" si="23"/>
        <v>0</v>
      </c>
      <c r="N61" s="221">
        <f t="shared" ca="1" si="23"/>
        <v>0</v>
      </c>
      <c r="O61" s="219">
        <f t="shared" ca="1" si="23"/>
        <v>0</v>
      </c>
      <c r="P61" s="205"/>
      <c r="Q61" s="205"/>
      <c r="R61" s="205"/>
      <c r="S61" s="180"/>
      <c r="T61" s="137"/>
    </row>
    <row r="62" spans="1:20" ht="18.75" x14ac:dyDescent="0.3">
      <c r="A62" s="84" t="s">
        <v>102</v>
      </c>
      <c r="B62" s="101">
        <f t="shared" si="21"/>
        <v>22948</v>
      </c>
      <c r="C62" s="101">
        <f t="shared" si="21"/>
        <v>24813</v>
      </c>
      <c r="D62" s="102">
        <f t="shared" si="17"/>
        <v>8.1</v>
      </c>
      <c r="E62" s="392">
        <f t="shared" si="16"/>
        <v>3.6273357890128706E-2</v>
      </c>
      <c r="F62" s="101"/>
      <c r="G62" s="174">
        <f t="shared" si="22"/>
        <v>0</v>
      </c>
      <c r="H62" s="174">
        <f t="shared" si="22"/>
        <v>0</v>
      </c>
      <c r="I62" s="102"/>
      <c r="J62" s="392">
        <f t="shared" si="19"/>
        <v>0</v>
      </c>
      <c r="K62" s="137"/>
      <c r="L62" s="221">
        <f t="shared" ca="1" si="23"/>
        <v>0</v>
      </c>
      <c r="M62" s="219">
        <f t="shared" ca="1" si="23"/>
        <v>0</v>
      </c>
      <c r="N62" s="221">
        <f t="shared" ca="1" si="23"/>
        <v>0</v>
      </c>
      <c r="O62" s="219">
        <f t="shared" ca="1" si="23"/>
        <v>0</v>
      </c>
      <c r="P62" s="205"/>
      <c r="Q62" s="205"/>
      <c r="R62" s="205"/>
      <c r="S62" s="180"/>
      <c r="T62" s="137"/>
    </row>
    <row r="63" spans="1:20" ht="18.75" x14ac:dyDescent="0.3">
      <c r="A63" s="84" t="s">
        <v>103</v>
      </c>
      <c r="B63" s="101">
        <f t="shared" si="21"/>
        <v>1465</v>
      </c>
      <c r="C63" s="101">
        <f t="shared" si="21"/>
        <v>2011</v>
      </c>
      <c r="D63" s="102">
        <f t="shared" si="17"/>
        <v>37.299999999999997</v>
      </c>
      <c r="E63" s="392">
        <f t="shared" si="16"/>
        <v>2.9398187529540492E-3</v>
      </c>
      <c r="F63" s="101"/>
      <c r="G63" s="174">
        <f t="shared" si="22"/>
        <v>0</v>
      </c>
      <c r="H63" s="174">
        <f t="shared" si="22"/>
        <v>0</v>
      </c>
      <c r="I63" s="102"/>
      <c r="J63" s="392">
        <f t="shared" si="19"/>
        <v>0</v>
      </c>
      <c r="K63" s="137"/>
      <c r="L63" s="221">
        <f t="shared" ca="1" si="23"/>
        <v>0</v>
      </c>
      <c r="M63" s="219">
        <f t="shared" ca="1" si="23"/>
        <v>0</v>
      </c>
      <c r="N63" s="221">
        <f t="shared" ca="1" si="23"/>
        <v>0</v>
      </c>
      <c r="O63" s="219">
        <f t="shared" ca="1" si="23"/>
        <v>0</v>
      </c>
      <c r="P63" s="205"/>
      <c r="Q63" s="205"/>
      <c r="R63" s="205"/>
      <c r="S63" s="180"/>
      <c r="T63" s="137"/>
    </row>
    <row r="64" spans="1:20" ht="18.75" x14ac:dyDescent="0.3">
      <c r="A64" s="105" t="s">
        <v>70</v>
      </c>
      <c r="B64" s="101">
        <f>B24+B40</f>
        <v>8100577.4880396798</v>
      </c>
      <c r="C64" s="101">
        <f>+C24+C40</f>
        <v>7801909.141450502</v>
      </c>
      <c r="D64" s="102">
        <f t="shared" si="17"/>
        <v>-3.7</v>
      </c>
      <c r="E64" s="392">
        <f t="shared" si="16"/>
        <v>11.405369867170469</v>
      </c>
      <c r="F64" s="101"/>
      <c r="G64" s="174">
        <f>+G24+G40</f>
        <v>92578790.010000005</v>
      </c>
      <c r="H64" s="174">
        <f>+H24+H40</f>
        <v>104160077.85199997</v>
      </c>
      <c r="I64" s="102">
        <f t="shared" si="18"/>
        <v>12.5</v>
      </c>
      <c r="J64" s="392">
        <f t="shared" si="19"/>
        <v>8.4281271243138871</v>
      </c>
      <c r="K64" s="137"/>
      <c r="L64" s="221">
        <f ca="1">L24+L40</f>
        <v>0</v>
      </c>
      <c r="M64" s="219">
        <f ca="1">+M24+M40</f>
        <v>0</v>
      </c>
      <c r="N64" s="221">
        <f ca="1">+N24+N40</f>
        <v>0</v>
      </c>
      <c r="O64" s="219">
        <f ca="1">+O24+O40</f>
        <v>0</v>
      </c>
      <c r="P64" s="205"/>
      <c r="Q64" s="205"/>
      <c r="R64" s="205"/>
      <c r="S64" s="180"/>
      <c r="T64" s="137"/>
    </row>
    <row r="65" spans="1:240" ht="18.75" customHeight="1" x14ac:dyDescent="0.3">
      <c r="A65" s="105" t="s">
        <v>105</v>
      </c>
      <c r="B65" s="101">
        <f>B25</f>
        <v>3324961</v>
      </c>
      <c r="C65" s="101">
        <f>C25</f>
        <v>3152879</v>
      </c>
      <c r="D65" s="102">
        <f t="shared" si="17"/>
        <v>-5.2</v>
      </c>
      <c r="E65" s="392">
        <f t="shared" si="16"/>
        <v>4.6090963749353602</v>
      </c>
      <c r="F65" s="101"/>
      <c r="G65" s="174">
        <f>G25</f>
        <v>63722413</v>
      </c>
      <c r="H65" s="174">
        <f>H25</f>
        <v>69246198</v>
      </c>
      <c r="I65" s="102">
        <f t="shared" si="18"/>
        <v>8.6999999999999993</v>
      </c>
      <c r="J65" s="392">
        <f t="shared" si="19"/>
        <v>5.6030657009364369</v>
      </c>
      <c r="K65" s="137"/>
      <c r="L65" s="221">
        <f ca="1">L25</f>
        <v>0</v>
      </c>
      <c r="M65" s="219">
        <f ca="1">M25</f>
        <v>0</v>
      </c>
      <c r="N65" s="221">
        <f ca="1">N25</f>
        <v>0</v>
      </c>
      <c r="O65" s="219">
        <f ca="1">O25</f>
        <v>0</v>
      </c>
      <c r="P65" s="205"/>
      <c r="Q65" s="205"/>
      <c r="R65" s="205"/>
      <c r="S65" s="180"/>
      <c r="T65" s="137"/>
    </row>
    <row r="66" spans="1:240" ht="18.75" customHeight="1" x14ac:dyDescent="0.3">
      <c r="A66" s="105" t="s">
        <v>76</v>
      </c>
      <c r="B66" s="101">
        <f>B41</f>
        <v>90696</v>
      </c>
      <c r="C66" s="101">
        <f>C41</f>
        <v>84302</v>
      </c>
      <c r="D66" s="102">
        <f t="shared" si="17"/>
        <v>-7</v>
      </c>
      <c r="E66" s="392">
        <f t="shared" si="16"/>
        <v>0.12323848856863862</v>
      </c>
      <c r="F66" s="101"/>
      <c r="G66" s="174">
        <f>G41</f>
        <v>1612357</v>
      </c>
      <c r="H66" s="174">
        <f>H41</f>
        <v>1949500</v>
      </c>
      <c r="I66" s="102">
        <f t="shared" si="18"/>
        <v>20.9</v>
      </c>
      <c r="J66" s="392">
        <f t="shared" si="19"/>
        <v>0.15774406248232695</v>
      </c>
      <c r="K66" s="137"/>
      <c r="L66" s="221">
        <f ca="1">L41</f>
        <v>0</v>
      </c>
      <c r="M66" s="219">
        <f ca="1">M41</f>
        <v>0</v>
      </c>
      <c r="N66" s="221">
        <f ca="1">N41</f>
        <v>0</v>
      </c>
      <c r="O66" s="219">
        <f ca="1">O41</f>
        <v>0</v>
      </c>
      <c r="P66" s="205"/>
      <c r="Q66" s="205"/>
      <c r="R66" s="205"/>
      <c r="S66" s="180"/>
      <c r="T66" s="137"/>
    </row>
    <row r="67" spans="1:240" ht="18.75" customHeight="1" x14ac:dyDescent="0.3">
      <c r="A67" s="105" t="s">
        <v>106</v>
      </c>
      <c r="B67" s="101">
        <f>B42+B26</f>
        <v>-0.69540974</v>
      </c>
      <c r="C67" s="101">
        <f>C26+C42</f>
        <v>0</v>
      </c>
      <c r="D67" s="102">
        <f t="shared" si="17"/>
        <v>-100</v>
      </c>
      <c r="E67" s="392">
        <f t="shared" si="16"/>
        <v>0</v>
      </c>
      <c r="F67" s="101"/>
      <c r="G67" s="174">
        <f>G26+G42</f>
        <v>9095939.7992499992</v>
      </c>
      <c r="H67" s="174">
        <f>H26+H42</f>
        <v>0</v>
      </c>
      <c r="I67" s="102">
        <f t="shared" si="18"/>
        <v>-100</v>
      </c>
      <c r="J67" s="392">
        <f t="shared" si="19"/>
        <v>0</v>
      </c>
      <c r="K67" s="137"/>
      <c r="L67" s="221">
        <f ca="1">L42+L26</f>
        <v>0</v>
      </c>
      <c r="M67" s="219">
        <f ca="1">M26+M42</f>
        <v>0</v>
      </c>
      <c r="N67" s="221">
        <f ca="1">N26+N42</f>
        <v>0</v>
      </c>
      <c r="O67" s="219">
        <f ca="1">O26+O42</f>
        <v>0</v>
      </c>
      <c r="P67" s="205"/>
      <c r="Q67" s="205"/>
      <c r="R67" s="205"/>
      <c r="S67" s="180"/>
      <c r="T67" s="137"/>
    </row>
    <row r="68" spans="1:240" ht="18.75" customHeight="1" x14ac:dyDescent="0.3">
      <c r="A68" s="84" t="s">
        <v>72</v>
      </c>
      <c r="B68" s="101">
        <f>B27+B43</f>
        <v>3469518.5846600002</v>
      </c>
      <c r="C68" s="101">
        <f>+C27+C43</f>
        <v>4197800.2414600002</v>
      </c>
      <c r="D68" s="102">
        <f t="shared" si="17"/>
        <v>21</v>
      </c>
      <c r="E68" s="392">
        <f t="shared" si="16"/>
        <v>6.136634446046318</v>
      </c>
      <c r="F68" s="101"/>
      <c r="G68" s="174">
        <f>+G27+G43</f>
        <v>35117916.63893</v>
      </c>
      <c r="H68" s="174">
        <f>+H27+H43</f>
        <v>41453766.789399996</v>
      </c>
      <c r="I68" s="102">
        <f t="shared" si="18"/>
        <v>18</v>
      </c>
      <c r="J68" s="392">
        <f t="shared" si="19"/>
        <v>3.3542372806129381</v>
      </c>
      <c r="K68" s="137"/>
      <c r="L68" s="221">
        <f ca="1">L27+L43</f>
        <v>0</v>
      </c>
      <c r="M68" s="219">
        <f t="shared" ref="M68:O69" ca="1" si="24">+M27+M43</f>
        <v>0</v>
      </c>
      <c r="N68" s="221">
        <f t="shared" ca="1" si="24"/>
        <v>0</v>
      </c>
      <c r="O68" s="219">
        <f t="shared" ca="1" si="24"/>
        <v>0</v>
      </c>
      <c r="P68" s="205"/>
      <c r="Q68" s="205"/>
      <c r="R68" s="205"/>
      <c r="S68" s="180"/>
      <c r="T68" s="137"/>
    </row>
    <row r="69" spans="1:240" ht="18.75" customHeight="1" x14ac:dyDescent="0.3">
      <c r="A69" s="84" t="s">
        <v>107</v>
      </c>
      <c r="B69" s="101">
        <f>B44+B28</f>
        <v>12768569.534000002</v>
      </c>
      <c r="C69" s="101">
        <f>+C28+C44</f>
        <v>11620302.859000001</v>
      </c>
      <c r="D69" s="102">
        <f t="shared" si="17"/>
        <v>-9</v>
      </c>
      <c r="E69" s="392">
        <f t="shared" si="16"/>
        <v>16.987361640921808</v>
      </c>
      <c r="F69" s="101"/>
      <c r="G69" s="174">
        <f>+G28+G44</f>
        <v>237276581.67608005</v>
      </c>
      <c r="H69" s="174">
        <f>+H28+H44</f>
        <v>251728370.43799999</v>
      </c>
      <c r="I69" s="102">
        <f t="shared" si="18"/>
        <v>6.1</v>
      </c>
      <c r="J69" s="392">
        <f t="shared" si="19"/>
        <v>20.368635955345582</v>
      </c>
      <c r="K69" s="137"/>
      <c r="L69" s="221">
        <f ca="1">L44+L28</f>
        <v>0</v>
      </c>
      <c r="M69" s="219">
        <f t="shared" ca="1" si="24"/>
        <v>0</v>
      </c>
      <c r="N69" s="221">
        <f t="shared" ca="1" si="24"/>
        <v>0</v>
      </c>
      <c r="O69" s="219">
        <f t="shared" ca="1" si="24"/>
        <v>0</v>
      </c>
      <c r="P69" s="205"/>
      <c r="Q69" s="205"/>
      <c r="R69" s="205"/>
      <c r="S69" s="180"/>
      <c r="T69" s="137"/>
    </row>
    <row r="70" spans="1:240" ht="18.75" customHeight="1" x14ac:dyDescent="0.3">
      <c r="A70" s="84" t="s">
        <v>108</v>
      </c>
      <c r="B70" s="101">
        <f>B29</f>
        <v>25828</v>
      </c>
      <c r="C70" s="101">
        <f>+C29</f>
        <v>23751</v>
      </c>
      <c r="D70" s="102">
        <f t="shared" si="17"/>
        <v>-8</v>
      </c>
      <c r="E70" s="392">
        <f t="shared" si="16"/>
        <v>3.4720852909702449E-2</v>
      </c>
      <c r="F70" s="101"/>
      <c r="G70" s="174">
        <f>+G29</f>
        <v>0</v>
      </c>
      <c r="H70" s="174">
        <f>+H29</f>
        <v>0</v>
      </c>
      <c r="I70" s="102"/>
      <c r="J70" s="392">
        <f t="shared" si="19"/>
        <v>0</v>
      </c>
      <c r="K70" s="137"/>
      <c r="L70" s="221">
        <f ca="1">L29</f>
        <v>0</v>
      </c>
      <c r="M70" s="219">
        <f t="shared" ref="M70:O71" ca="1" si="25">+M29</f>
        <v>0</v>
      </c>
      <c r="N70" s="221">
        <f t="shared" ca="1" si="25"/>
        <v>0</v>
      </c>
      <c r="O70" s="219">
        <f t="shared" ca="1" si="25"/>
        <v>0</v>
      </c>
      <c r="P70" s="205"/>
      <c r="Q70" s="205"/>
      <c r="R70" s="205"/>
      <c r="S70" s="180"/>
      <c r="T70" s="137"/>
    </row>
    <row r="71" spans="1:240" ht="18.75" customHeight="1" x14ac:dyDescent="0.3">
      <c r="A71" s="84" t="s">
        <v>109</v>
      </c>
      <c r="B71" s="101">
        <f>B30</f>
        <v>499374.44325000001</v>
      </c>
      <c r="C71" s="101">
        <f>+C30</f>
        <v>487718.42099999997</v>
      </c>
      <c r="D71" s="102">
        <f t="shared" si="17"/>
        <v>-2.2999999999999998</v>
      </c>
      <c r="E71" s="392">
        <f t="shared" si="16"/>
        <v>0.7129804874276171</v>
      </c>
      <c r="F71" s="101"/>
      <c r="G71" s="174">
        <f>+G30</f>
        <v>0</v>
      </c>
      <c r="H71" s="174">
        <f>+H30</f>
        <v>0</v>
      </c>
      <c r="I71" s="102"/>
      <c r="J71" s="392">
        <f t="shared" si="19"/>
        <v>0</v>
      </c>
      <c r="K71" s="137"/>
      <c r="L71" s="221">
        <f ca="1">L30</f>
        <v>0</v>
      </c>
      <c r="M71" s="219">
        <f t="shared" ca="1" si="25"/>
        <v>0</v>
      </c>
      <c r="N71" s="221">
        <f t="shared" ca="1" si="25"/>
        <v>0</v>
      </c>
      <c r="O71" s="219">
        <f t="shared" ca="1" si="25"/>
        <v>0</v>
      </c>
      <c r="P71" s="205"/>
      <c r="Q71" s="205"/>
      <c r="R71" s="205"/>
      <c r="S71" s="180"/>
      <c r="T71" s="137"/>
    </row>
    <row r="72" spans="1:240" s="109" customFormat="1" ht="18.75" customHeight="1" x14ac:dyDescent="0.3">
      <c r="A72" s="111" t="s">
        <v>2</v>
      </c>
      <c r="B72" s="112">
        <f>SUM(B49:B71)</f>
        <v>72287932.572139949</v>
      </c>
      <c r="C72" s="112">
        <f>SUM(C49:C71)</f>
        <v>68405577.656080514</v>
      </c>
      <c r="D72" s="113">
        <f>IF(B72=0, "    ---- ", IF(ABS(ROUND(100/B72*C72-100,1))&lt;999,ROUND(100/B72*C72-100,1),IF(ROUND(100/B72*C72-100,1)&gt;999,999,-999)))</f>
        <v>-5.4</v>
      </c>
      <c r="E72" s="395">
        <f>SUM(E49:E71)</f>
        <v>99.999999999999972</v>
      </c>
      <c r="F72" s="107"/>
      <c r="G72" s="179">
        <f>SUM(G49:G71)</f>
        <v>1162109908.87467</v>
      </c>
      <c r="H72" s="179">
        <f>SUM(H49:H71)</f>
        <v>1235862681.1823201</v>
      </c>
      <c r="I72" s="113">
        <f>IF(G72=0, "    ---- ", IF(ABS(ROUND(100/G72*H72-100,1))&lt;999,ROUND(100/G72*H72-100,1),IF(ROUND(100/G72*H72-100,1)&gt;999,999,-999)))</f>
        <v>6.3</v>
      </c>
      <c r="J72" s="395">
        <f>SUM(J49:J71)</f>
        <v>99.999999999999986</v>
      </c>
      <c r="K72" s="177"/>
      <c r="L72" s="227">
        <f ca="1">SUM(L49:L71)</f>
        <v>0</v>
      </c>
      <c r="M72" s="228">
        <f ca="1">SUM(M49:M71)</f>
        <v>0</v>
      </c>
      <c r="N72" s="227">
        <f ca="1">SUM(N49:N71)</f>
        <v>0</v>
      </c>
      <c r="O72" s="228">
        <f ca="1">SUM(O49:O71)</f>
        <v>0</v>
      </c>
      <c r="P72" s="207"/>
      <c r="Q72" s="207"/>
      <c r="R72" s="207"/>
      <c r="S72" s="136"/>
      <c r="T72" s="177"/>
    </row>
    <row r="73" spans="1:240" ht="18.75" customHeight="1" x14ac:dyDescent="0.3">
      <c r="A73" s="110" t="s">
        <v>113</v>
      </c>
      <c r="B73" s="110"/>
      <c r="C73" s="110"/>
      <c r="D73" s="110"/>
      <c r="E73" s="110"/>
      <c r="F73" s="110"/>
      <c r="G73" s="110"/>
      <c r="H73" s="110"/>
      <c r="I73" s="110"/>
      <c r="J73" s="110"/>
      <c r="K73" s="110"/>
      <c r="L73" s="184"/>
      <c r="M73" s="184"/>
      <c r="N73" s="184"/>
      <c r="O73" s="184"/>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c r="EO73" s="110"/>
      <c r="EP73" s="110"/>
      <c r="EQ73" s="110"/>
      <c r="ER73" s="110"/>
      <c r="ES73" s="110"/>
      <c r="ET73" s="110"/>
      <c r="EU73" s="110"/>
      <c r="EV73" s="110"/>
      <c r="EW73" s="110"/>
      <c r="EX73" s="110"/>
      <c r="EY73" s="110"/>
      <c r="EZ73" s="110"/>
      <c r="FA73" s="110"/>
      <c r="FB73" s="110"/>
      <c r="FC73" s="110"/>
      <c r="FD73" s="110"/>
      <c r="FE73" s="110"/>
      <c r="FF73" s="110"/>
      <c r="FG73" s="110"/>
      <c r="FH73" s="110"/>
      <c r="FI73" s="110"/>
      <c r="FJ73" s="110"/>
      <c r="FK73" s="110"/>
      <c r="FL73" s="110"/>
      <c r="FM73" s="110"/>
      <c r="FN73" s="110"/>
      <c r="FO73" s="110"/>
      <c r="FP73" s="110"/>
      <c r="FQ73" s="110"/>
      <c r="FR73" s="110"/>
      <c r="FS73" s="110"/>
      <c r="FT73" s="110"/>
      <c r="FU73" s="110"/>
      <c r="FV73" s="110"/>
      <c r="FW73" s="110"/>
      <c r="FX73" s="110"/>
      <c r="FY73" s="110"/>
      <c r="FZ73" s="110"/>
      <c r="GA73" s="110"/>
      <c r="GB73" s="110"/>
      <c r="GC73" s="110"/>
      <c r="GD73" s="110"/>
      <c r="GE73" s="110"/>
      <c r="GF73" s="110"/>
      <c r="GG73" s="110"/>
      <c r="GH73" s="110"/>
      <c r="GI73" s="110"/>
      <c r="GJ73" s="110"/>
      <c r="GK73" s="110"/>
      <c r="GL73" s="110"/>
      <c r="GM73" s="110"/>
      <c r="GN73" s="110"/>
      <c r="GO73" s="110"/>
      <c r="GP73" s="110"/>
      <c r="GQ73" s="110"/>
      <c r="GR73" s="110"/>
      <c r="GS73" s="110"/>
      <c r="GT73" s="110"/>
      <c r="GU73" s="110"/>
      <c r="GV73" s="110"/>
      <c r="GW73" s="110"/>
      <c r="GX73" s="110"/>
      <c r="GY73" s="110"/>
      <c r="GZ73" s="110"/>
      <c r="HA73" s="110"/>
      <c r="HB73" s="110"/>
      <c r="HC73" s="110"/>
      <c r="HD73" s="110"/>
      <c r="HE73" s="110"/>
      <c r="HF73" s="110"/>
      <c r="HG73" s="110"/>
      <c r="HH73" s="110"/>
      <c r="HI73" s="110"/>
      <c r="HJ73" s="110"/>
      <c r="HK73" s="110"/>
      <c r="HL73" s="110"/>
      <c r="HM73" s="110"/>
      <c r="HN73" s="110"/>
      <c r="HO73" s="110"/>
      <c r="HP73" s="110"/>
      <c r="HQ73" s="110"/>
      <c r="HR73" s="110"/>
      <c r="HS73" s="110"/>
      <c r="HT73" s="110"/>
      <c r="HU73" s="110"/>
      <c r="HV73" s="110"/>
      <c r="HW73" s="110"/>
      <c r="HX73" s="110"/>
      <c r="HY73" s="110"/>
      <c r="HZ73" s="110"/>
      <c r="IA73" s="110"/>
      <c r="IB73" s="110"/>
      <c r="IC73" s="110"/>
      <c r="ID73" s="110"/>
      <c r="IE73" s="110"/>
      <c r="IF73" s="110"/>
    </row>
    <row r="74" spans="1:240" ht="18.75" customHeight="1" x14ac:dyDescent="0.3">
      <c r="A74" s="72"/>
      <c r="B74" s="72"/>
      <c r="C74" s="72"/>
      <c r="D74" s="72"/>
      <c r="E74" s="72"/>
      <c r="F74" s="72"/>
      <c r="G74" s="72"/>
      <c r="H74" s="72"/>
      <c r="I74" s="72"/>
      <c r="J74" s="72"/>
      <c r="K74" s="72"/>
    </row>
    <row r="75" spans="1:240" ht="18.75" customHeight="1" x14ac:dyDescent="0.3">
      <c r="A75" s="72"/>
      <c r="B75" s="72"/>
      <c r="C75" s="72"/>
      <c r="D75" s="72"/>
      <c r="E75" s="72"/>
      <c r="F75" s="72"/>
      <c r="G75" s="72"/>
      <c r="H75" s="72"/>
      <c r="I75" s="72"/>
      <c r="J75" s="72"/>
      <c r="K75" s="72"/>
    </row>
    <row r="76" spans="1:240" ht="18.75" customHeight="1" x14ac:dyDescent="0.3">
      <c r="A76" s="72"/>
      <c r="B76" s="75"/>
      <c r="C76" s="75"/>
      <c r="D76" s="72"/>
      <c r="E76" s="72"/>
      <c r="F76" s="72"/>
      <c r="G76" s="75"/>
      <c r="H76" s="75"/>
      <c r="I76" s="72"/>
      <c r="J76" s="72"/>
      <c r="K76" s="72"/>
    </row>
    <row r="77" spans="1:240" ht="18.75" customHeight="1" x14ac:dyDescent="0.3">
      <c r="A77" s="72"/>
      <c r="B77" s="72"/>
      <c r="C77" s="72"/>
      <c r="D77" s="72"/>
      <c r="E77" s="72"/>
      <c r="F77" s="72"/>
      <c r="G77" s="72"/>
      <c r="H77" s="72"/>
      <c r="I77" s="72"/>
      <c r="J77" s="72"/>
      <c r="K77" s="72"/>
    </row>
    <row r="78" spans="1:240" ht="18.75" customHeight="1" x14ac:dyDescent="0.3">
      <c r="A78" s="72"/>
      <c r="B78" s="72"/>
      <c r="C78" s="72"/>
      <c r="D78" s="72"/>
      <c r="E78" s="72"/>
      <c r="F78" s="72"/>
      <c r="G78" s="72"/>
      <c r="H78" s="72"/>
      <c r="I78" s="72"/>
      <c r="J78" s="72"/>
      <c r="K78" s="72"/>
    </row>
    <row r="79" spans="1:240" ht="18.75" customHeight="1" x14ac:dyDescent="0.3">
      <c r="A79" s="72"/>
      <c r="B79" s="72"/>
      <c r="C79" s="72"/>
      <c r="D79" s="72"/>
      <c r="E79" s="72"/>
      <c r="F79" s="72"/>
      <c r="G79" s="72"/>
      <c r="H79" s="72"/>
      <c r="I79" s="72"/>
      <c r="J79" s="72"/>
      <c r="K79" s="72"/>
    </row>
    <row r="80" spans="1:240" ht="18.75" customHeight="1" x14ac:dyDescent="0.3">
      <c r="A80" s="72"/>
      <c r="B80" s="72"/>
      <c r="C80" s="72"/>
      <c r="D80" s="72"/>
      <c r="E80" s="72"/>
      <c r="F80" s="72"/>
      <c r="G80" s="72"/>
      <c r="H80" s="72"/>
      <c r="I80" s="72"/>
      <c r="J80" s="72"/>
      <c r="K80" s="72"/>
    </row>
    <row r="81" spans="1:11" ht="18.75" x14ac:dyDescent="0.3">
      <c r="A81" s="72"/>
      <c r="B81" s="72"/>
      <c r="C81" s="72"/>
      <c r="D81" s="72"/>
      <c r="E81" s="72"/>
      <c r="F81" s="72"/>
      <c r="G81" s="72"/>
      <c r="H81" s="72"/>
      <c r="I81" s="72"/>
      <c r="J81" s="72"/>
      <c r="K81" s="72"/>
    </row>
    <row r="82" spans="1:11" ht="18.75" x14ac:dyDescent="0.3">
      <c r="A82" s="72"/>
      <c r="B82" s="72"/>
      <c r="C82" s="72"/>
      <c r="D82" s="72"/>
      <c r="E82" s="72"/>
      <c r="F82" s="72"/>
      <c r="G82" s="72"/>
      <c r="H82" s="72"/>
      <c r="I82" s="72"/>
      <c r="J82" s="72"/>
      <c r="K82" s="72"/>
    </row>
    <row r="83" spans="1:11" ht="18.75" x14ac:dyDescent="0.3">
      <c r="A83" s="72"/>
      <c r="B83" s="72"/>
      <c r="C83" s="72"/>
      <c r="D83" s="72"/>
      <c r="E83" s="72"/>
      <c r="F83" s="72"/>
      <c r="G83" s="72"/>
      <c r="H83" s="72"/>
      <c r="I83" s="72"/>
      <c r="J83" s="72"/>
      <c r="K83" s="72"/>
    </row>
    <row r="84" spans="1:11" ht="18.75" x14ac:dyDescent="0.3">
      <c r="A84" s="72"/>
      <c r="B84" s="72"/>
      <c r="C84" s="72"/>
      <c r="D84" s="72"/>
      <c r="E84" s="72"/>
      <c r="F84" s="72"/>
      <c r="G84" s="72"/>
      <c r="H84" s="72"/>
      <c r="I84" s="72"/>
      <c r="J84" s="72"/>
      <c r="K84" s="72"/>
    </row>
    <row r="85" spans="1:11" ht="18.75" x14ac:dyDescent="0.3">
      <c r="A85" s="72"/>
      <c r="B85" s="72"/>
      <c r="C85" s="72"/>
      <c r="D85" s="72"/>
      <c r="E85" s="72"/>
      <c r="F85" s="72"/>
      <c r="G85" s="72"/>
      <c r="H85" s="72"/>
      <c r="I85" s="72"/>
      <c r="J85" s="72"/>
      <c r="K85" s="72"/>
    </row>
    <row r="86" spans="1:11" ht="18.75" x14ac:dyDescent="0.3">
      <c r="A86" s="72"/>
      <c r="B86" s="72"/>
      <c r="C86" s="72"/>
      <c r="D86" s="72"/>
      <c r="E86" s="72"/>
      <c r="F86" s="72"/>
      <c r="G86" s="72"/>
      <c r="H86" s="72"/>
      <c r="I86" s="72"/>
      <c r="J86" s="72"/>
      <c r="K86" s="72"/>
    </row>
    <row r="87" spans="1:11" ht="18.75" x14ac:dyDescent="0.3">
      <c r="A87" s="72"/>
      <c r="B87" s="72"/>
      <c r="C87" s="72"/>
      <c r="D87" s="72"/>
      <c r="E87" s="72"/>
      <c r="F87" s="72"/>
      <c r="G87" s="72"/>
      <c r="H87" s="72"/>
      <c r="I87" s="72"/>
      <c r="J87" s="72"/>
      <c r="K87" s="72"/>
    </row>
    <row r="88" spans="1:11" ht="18.75" x14ac:dyDescent="0.3">
      <c r="A88" s="72"/>
      <c r="B88" s="72"/>
      <c r="C88" s="72"/>
      <c r="D88" s="72"/>
      <c r="E88" s="72"/>
      <c r="F88" s="72"/>
      <c r="G88" s="72"/>
      <c r="H88" s="72"/>
      <c r="I88" s="72"/>
      <c r="J88" s="72"/>
      <c r="K88" s="72"/>
    </row>
    <row r="89" spans="1:11" ht="18.75" x14ac:dyDescent="0.3">
      <c r="A89" s="72"/>
      <c r="B89" s="72"/>
      <c r="C89" s="72"/>
      <c r="D89" s="72"/>
      <c r="E89" s="72"/>
      <c r="F89" s="72"/>
      <c r="G89" s="72"/>
      <c r="H89" s="72"/>
      <c r="I89" s="72"/>
      <c r="J89" s="72"/>
      <c r="K89" s="72"/>
    </row>
    <row r="90" spans="1:11" ht="18.75" x14ac:dyDescent="0.3">
      <c r="A90" s="72"/>
      <c r="B90" s="72"/>
      <c r="C90" s="72"/>
      <c r="D90" s="72"/>
      <c r="E90" s="72"/>
      <c r="F90" s="72"/>
      <c r="G90" s="72"/>
      <c r="H90" s="72"/>
      <c r="I90" s="72"/>
      <c r="J90" s="72"/>
      <c r="K90" s="72"/>
    </row>
    <row r="91" spans="1:11" ht="18.75" x14ac:dyDescent="0.3">
      <c r="A91" s="72"/>
      <c r="B91" s="72"/>
      <c r="C91" s="72"/>
      <c r="D91" s="72"/>
      <c r="E91" s="72"/>
      <c r="F91" s="72"/>
      <c r="G91" s="72"/>
      <c r="H91" s="72"/>
      <c r="I91" s="72"/>
      <c r="J91" s="72"/>
      <c r="K91" s="72"/>
    </row>
    <row r="92" spans="1:11" ht="18.75" x14ac:dyDescent="0.3">
      <c r="A92" s="72"/>
      <c r="B92" s="72"/>
      <c r="C92" s="72"/>
      <c r="D92" s="72"/>
      <c r="E92" s="72"/>
      <c r="F92" s="72"/>
      <c r="G92" s="72"/>
      <c r="H92" s="72"/>
      <c r="I92" s="72"/>
      <c r="J92" s="72"/>
      <c r="K92" s="72"/>
    </row>
    <row r="93" spans="1:11" ht="18.75" x14ac:dyDescent="0.3">
      <c r="A93" s="72"/>
      <c r="B93" s="72"/>
      <c r="C93" s="72"/>
      <c r="D93" s="72"/>
      <c r="E93" s="72"/>
      <c r="F93" s="72"/>
      <c r="G93" s="72"/>
      <c r="H93" s="72"/>
      <c r="I93" s="72"/>
      <c r="J93" s="72"/>
      <c r="K93" s="72"/>
    </row>
    <row r="94" spans="1:11" ht="18.75" x14ac:dyDescent="0.3">
      <c r="A94" s="72"/>
      <c r="B94" s="72"/>
      <c r="C94" s="72"/>
      <c r="D94" s="72"/>
      <c r="E94" s="72"/>
      <c r="F94" s="72"/>
      <c r="G94" s="72"/>
      <c r="H94" s="72"/>
      <c r="I94" s="72"/>
      <c r="J94" s="72"/>
      <c r="K94" s="72"/>
    </row>
    <row r="95" spans="1:11" ht="18.75" x14ac:dyDescent="0.3">
      <c r="A95" s="72"/>
      <c r="B95" s="72"/>
      <c r="C95" s="72"/>
      <c r="D95" s="72"/>
      <c r="E95" s="72"/>
      <c r="F95" s="72"/>
      <c r="G95" s="72"/>
      <c r="H95" s="72"/>
      <c r="I95" s="72"/>
      <c r="J95" s="72"/>
      <c r="K95" s="72"/>
    </row>
    <row r="96" spans="1:11" ht="18.75" x14ac:dyDescent="0.3">
      <c r="A96" s="72"/>
      <c r="B96" s="72"/>
      <c r="C96" s="72"/>
      <c r="D96" s="72"/>
      <c r="E96" s="72"/>
      <c r="F96" s="72"/>
      <c r="G96" s="72"/>
      <c r="H96" s="72"/>
      <c r="I96" s="72"/>
      <c r="J96" s="72"/>
      <c r="K96" s="72"/>
    </row>
    <row r="97" spans="1:11" ht="18.75" x14ac:dyDescent="0.3">
      <c r="A97" s="72"/>
      <c r="B97" s="72"/>
      <c r="C97" s="72"/>
      <c r="D97" s="72"/>
      <c r="E97" s="72"/>
      <c r="F97" s="72"/>
      <c r="G97" s="72"/>
      <c r="H97" s="72"/>
      <c r="I97" s="72"/>
      <c r="J97" s="72"/>
      <c r="K97" s="72"/>
    </row>
    <row r="98" spans="1:11" ht="18.75" x14ac:dyDescent="0.3">
      <c r="A98" s="110"/>
      <c r="B98" s="110"/>
      <c r="C98" s="110"/>
      <c r="D98" s="110"/>
      <c r="E98" s="110"/>
      <c r="F98" s="110"/>
      <c r="G98" s="110"/>
      <c r="H98" s="110"/>
      <c r="I98" s="110"/>
      <c r="J98" s="110"/>
      <c r="K98" s="110"/>
    </row>
    <row r="99" spans="1:11" ht="18.75" x14ac:dyDescent="0.3">
      <c r="A99" s="114"/>
      <c r="B99" s="115"/>
      <c r="C99" s="115"/>
      <c r="D99" s="115"/>
      <c r="E99" s="72"/>
      <c r="F99" s="72"/>
      <c r="G99" s="72"/>
      <c r="H99" s="72"/>
      <c r="I99" s="72"/>
      <c r="J99" s="73"/>
      <c r="K99" s="73"/>
    </row>
    <row r="100" spans="1:11" ht="18.75" x14ac:dyDescent="0.3">
      <c r="A100" s="72"/>
      <c r="B100" s="72"/>
      <c r="C100" s="72"/>
      <c r="D100" s="72"/>
      <c r="E100" s="72"/>
      <c r="F100" s="72"/>
      <c r="G100" s="72"/>
      <c r="H100" s="72"/>
      <c r="I100" s="72"/>
      <c r="J100" s="72"/>
      <c r="K100" s="72"/>
    </row>
    <row r="101" spans="1:11" ht="18.75" x14ac:dyDescent="0.3">
      <c r="A101" s="72"/>
      <c r="B101" s="72"/>
      <c r="C101" s="72"/>
      <c r="D101" s="72"/>
      <c r="E101" s="72"/>
      <c r="F101" s="72"/>
      <c r="G101" s="72"/>
      <c r="H101" s="72"/>
      <c r="I101" s="72"/>
      <c r="J101" s="72"/>
      <c r="K101" s="72"/>
    </row>
    <row r="102" spans="1:11" ht="18.75" x14ac:dyDescent="0.3">
      <c r="A102" s="72"/>
      <c r="B102" s="72"/>
      <c r="C102" s="72"/>
      <c r="D102" s="72"/>
      <c r="E102" s="72"/>
      <c r="F102" s="72"/>
      <c r="G102" s="72"/>
      <c r="H102" s="72"/>
      <c r="I102" s="72"/>
      <c r="J102" s="72"/>
      <c r="K102" s="72"/>
    </row>
    <row r="103" spans="1:11" ht="18.75" x14ac:dyDescent="0.3">
      <c r="A103" s="72"/>
      <c r="B103" s="72"/>
      <c r="C103" s="72"/>
      <c r="D103" s="72"/>
      <c r="E103" s="72"/>
      <c r="F103" s="72"/>
      <c r="G103" s="72"/>
      <c r="H103" s="72"/>
      <c r="I103" s="72"/>
      <c r="J103" s="72"/>
      <c r="K103" s="72"/>
    </row>
    <row r="104" spans="1:11" ht="18.75" x14ac:dyDescent="0.3">
      <c r="A104" s="72"/>
      <c r="B104" s="72"/>
      <c r="C104" s="72"/>
      <c r="D104" s="72"/>
      <c r="E104" s="72"/>
      <c r="F104" s="72"/>
      <c r="G104" s="72"/>
      <c r="H104" s="72"/>
      <c r="I104" s="72"/>
      <c r="J104" s="72"/>
      <c r="K104" s="72"/>
    </row>
    <row r="105" spans="1:11" ht="18.75" x14ac:dyDescent="0.3">
      <c r="A105" s="72"/>
      <c r="B105" s="72"/>
      <c r="C105" s="72"/>
      <c r="D105" s="72"/>
      <c r="E105" s="72"/>
      <c r="F105" s="72"/>
      <c r="G105" s="72"/>
      <c r="H105" s="72"/>
      <c r="I105" s="72"/>
      <c r="J105" s="72"/>
      <c r="K105" s="72"/>
    </row>
    <row r="106" spans="1:11" ht="18.75" x14ac:dyDescent="0.3">
      <c r="A106" s="72"/>
      <c r="B106" s="72"/>
      <c r="C106" s="72"/>
      <c r="D106" s="72"/>
      <c r="E106" s="72"/>
      <c r="F106" s="72"/>
      <c r="G106" s="72"/>
      <c r="H106" s="72"/>
      <c r="I106" s="72"/>
      <c r="J106" s="72"/>
      <c r="K106" s="72"/>
    </row>
    <row r="107" spans="1:11" ht="18.75" x14ac:dyDescent="0.3">
      <c r="A107" s="72"/>
      <c r="B107" s="72"/>
      <c r="C107" s="72"/>
      <c r="D107" s="72"/>
      <c r="E107" s="72"/>
      <c r="F107" s="72"/>
      <c r="G107" s="72"/>
      <c r="H107" s="72"/>
      <c r="I107" s="72"/>
      <c r="J107" s="72"/>
      <c r="K107" s="72"/>
    </row>
    <row r="108" spans="1:11" ht="18.75" x14ac:dyDescent="0.3">
      <c r="A108" s="72"/>
      <c r="B108" s="72"/>
      <c r="C108" s="72"/>
      <c r="D108" s="72"/>
      <c r="E108" s="72"/>
      <c r="F108" s="72"/>
      <c r="G108" s="72"/>
      <c r="H108" s="72"/>
      <c r="I108" s="72"/>
      <c r="J108" s="72"/>
      <c r="K108" s="72"/>
    </row>
    <row r="109" spans="1:11" ht="18.75" x14ac:dyDescent="0.3">
      <c r="A109" s="72"/>
      <c r="B109" s="72"/>
      <c r="C109" s="72"/>
      <c r="D109" s="72"/>
      <c r="E109" s="72"/>
      <c r="F109" s="72"/>
      <c r="G109" s="72"/>
      <c r="H109" s="72"/>
      <c r="I109" s="72"/>
      <c r="J109" s="72"/>
      <c r="K109" s="72"/>
    </row>
    <row r="110" spans="1:11" ht="18.75" x14ac:dyDescent="0.3">
      <c r="A110" s="72"/>
      <c r="B110" s="72"/>
      <c r="C110" s="72"/>
      <c r="D110" s="72"/>
      <c r="E110" s="72"/>
      <c r="F110" s="72"/>
      <c r="G110" s="72"/>
      <c r="H110" s="72"/>
      <c r="I110" s="72"/>
      <c r="J110" s="72"/>
      <c r="K110" s="72"/>
    </row>
    <row r="111" spans="1:11" ht="18.75" x14ac:dyDescent="0.3">
      <c r="A111" s="72"/>
      <c r="B111" s="72"/>
      <c r="C111" s="72"/>
      <c r="D111" s="72"/>
      <c r="E111" s="72"/>
      <c r="F111" s="72"/>
      <c r="G111" s="72"/>
      <c r="H111" s="72"/>
      <c r="I111" s="72"/>
      <c r="J111" s="72"/>
      <c r="K111" s="72"/>
    </row>
  </sheetData>
  <mergeCells count="5">
    <mergeCell ref="N5:O5"/>
    <mergeCell ref="A3:B3"/>
    <mergeCell ref="B5:E5"/>
    <mergeCell ref="G5:J5"/>
    <mergeCell ref="L5:M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15"/>
  <sheetViews>
    <sheetView showGridLines="0" showZeros="0" zoomScale="80" zoomScaleNormal="8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79" customWidth="1"/>
    <col min="2" max="3" width="16.7109375" style="79" customWidth="1"/>
    <col min="4" max="4" width="9.28515625" style="79" bestFit="1" customWidth="1"/>
    <col min="5" max="5" width="4.7109375" style="79" customWidth="1"/>
    <col min="6" max="7" width="16.7109375" style="79" customWidth="1"/>
    <col min="8" max="8" width="9.28515625" style="79" bestFit="1" customWidth="1"/>
    <col min="9" max="9" width="4.7109375" style="79" customWidth="1"/>
    <col min="10" max="10" width="18.85546875" style="79" customWidth="1"/>
    <col min="11" max="11" width="18" style="79" bestFit="1" customWidth="1"/>
    <col min="12" max="12" width="9.28515625" style="79" bestFit="1" customWidth="1"/>
    <col min="13" max="13" width="11.42578125" style="79"/>
    <col min="14" max="15" width="17.140625" style="79" bestFit="1" customWidth="1"/>
    <col min="16" max="16384" width="11.42578125" style="79"/>
  </cols>
  <sheetData>
    <row r="1" spans="1:13" ht="20.25" x14ac:dyDescent="0.3">
      <c r="A1" s="78" t="s">
        <v>82</v>
      </c>
      <c r="B1" s="71" t="s">
        <v>53</v>
      </c>
      <c r="C1" s="72"/>
      <c r="D1" s="72"/>
      <c r="E1" s="72"/>
      <c r="F1" s="72"/>
      <c r="G1" s="72"/>
      <c r="H1" s="72"/>
      <c r="I1" s="72"/>
      <c r="J1" s="72"/>
      <c r="K1" s="72"/>
      <c r="L1" s="72"/>
      <c r="M1" s="72"/>
    </row>
    <row r="2" spans="1:13" ht="20.25" x14ac:dyDescent="0.3">
      <c r="A2" s="78" t="s">
        <v>114</v>
      </c>
      <c r="B2" s="71"/>
      <c r="C2" s="72"/>
      <c r="D2" s="72"/>
      <c r="E2" s="72"/>
      <c r="F2" s="72"/>
      <c r="G2" s="72"/>
      <c r="H2" s="72"/>
      <c r="I2" s="72"/>
      <c r="J2" s="72"/>
      <c r="K2" s="72"/>
      <c r="L2" s="72"/>
      <c r="M2" s="72"/>
    </row>
    <row r="3" spans="1:13" ht="18.75" x14ac:dyDescent="0.3">
      <c r="A3" s="73" t="s">
        <v>115</v>
      </c>
      <c r="B3" s="72"/>
      <c r="C3" s="72"/>
      <c r="D3" s="72"/>
      <c r="E3" s="72"/>
      <c r="F3" s="72"/>
      <c r="G3" s="72"/>
      <c r="H3" s="72"/>
      <c r="I3" s="72"/>
      <c r="J3" s="72"/>
      <c r="K3" s="72"/>
      <c r="L3" s="72"/>
      <c r="M3" s="72"/>
    </row>
    <row r="4" spans="1:13" ht="18.75" x14ac:dyDescent="0.3">
      <c r="A4" s="80" t="s">
        <v>389</v>
      </c>
      <c r="B4" s="100"/>
      <c r="C4" s="116"/>
      <c r="D4" s="117"/>
      <c r="E4" s="110"/>
      <c r="F4" s="81"/>
      <c r="G4" s="82"/>
      <c r="H4" s="83"/>
      <c r="I4" s="110"/>
      <c r="J4" s="81"/>
      <c r="K4" s="82"/>
      <c r="L4" s="83"/>
      <c r="M4" s="72"/>
    </row>
    <row r="5" spans="1:13" ht="18.75" x14ac:dyDescent="0.3">
      <c r="A5" s="118"/>
      <c r="B5" s="672" t="s">
        <v>0</v>
      </c>
      <c r="C5" s="673"/>
      <c r="D5" s="674"/>
      <c r="E5" s="87"/>
      <c r="F5" s="672" t="s">
        <v>1</v>
      </c>
      <c r="G5" s="673"/>
      <c r="H5" s="674"/>
      <c r="I5" s="119"/>
      <c r="J5" s="672" t="s">
        <v>116</v>
      </c>
      <c r="K5" s="673"/>
      <c r="L5" s="674"/>
      <c r="M5" s="72"/>
    </row>
    <row r="6" spans="1:13" ht="18.75" x14ac:dyDescent="0.3">
      <c r="A6" s="120"/>
      <c r="B6" s="121"/>
      <c r="C6" s="122"/>
      <c r="D6" s="92" t="s">
        <v>117</v>
      </c>
      <c r="E6" s="98"/>
      <c r="F6" s="121"/>
      <c r="G6" s="122"/>
      <c r="H6" s="92" t="s">
        <v>117</v>
      </c>
      <c r="I6" s="123"/>
      <c r="J6" s="121"/>
      <c r="K6" s="122"/>
      <c r="L6" s="92" t="s">
        <v>117</v>
      </c>
      <c r="M6" s="72"/>
    </row>
    <row r="7" spans="1:13" ht="18.75" x14ac:dyDescent="0.3">
      <c r="A7" s="124" t="s">
        <v>118</v>
      </c>
      <c r="B7" s="125">
        <v>2016</v>
      </c>
      <c r="C7" s="183">
        <v>2017</v>
      </c>
      <c r="D7" s="97" t="s">
        <v>89</v>
      </c>
      <c r="E7" s="98"/>
      <c r="F7" s="95">
        <v>2016</v>
      </c>
      <c r="G7" s="125">
        <v>2017</v>
      </c>
      <c r="H7" s="97" t="s">
        <v>89</v>
      </c>
      <c r="I7" s="126"/>
      <c r="J7" s="182">
        <v>2016</v>
      </c>
      <c r="K7" s="183">
        <v>2017</v>
      </c>
      <c r="L7" s="97" t="s">
        <v>89</v>
      </c>
      <c r="M7" s="72"/>
    </row>
    <row r="8" spans="1:13" ht="22.5" x14ac:dyDescent="0.3">
      <c r="A8" s="190" t="s">
        <v>119</v>
      </c>
      <c r="B8" s="230"/>
      <c r="C8" s="199"/>
      <c r="D8" s="199"/>
      <c r="E8" s="180"/>
      <c r="F8" s="199"/>
      <c r="G8" s="199"/>
      <c r="H8" s="199"/>
      <c r="I8" s="200"/>
      <c r="J8" s="199"/>
      <c r="K8" s="199"/>
      <c r="L8" s="199"/>
      <c r="M8" s="72"/>
    </row>
    <row r="9" spans="1:13" ht="18.75" x14ac:dyDescent="0.3">
      <c r="A9" s="191" t="s">
        <v>120</v>
      </c>
      <c r="B9" s="102">
        <f>'Skjema total MA'!B7</f>
        <v>3953570.824320944</v>
      </c>
      <c r="C9" s="102">
        <f>'Skjema total MA'!C7</f>
        <v>3659327.1385919875</v>
      </c>
      <c r="D9" s="231">
        <f>IF(B9=0, "    ---- ", IF(ABS(ROUND(100/B9*C9-100,1))&lt;999,ROUND(100/B9*C9-100,1),IF(ROUND(100/B9*C9-100,1)&gt;999,999,-999)))</f>
        <v>-7.4</v>
      </c>
      <c r="E9" s="180"/>
      <c r="F9" s="194">
        <f>'Skjema total MA'!E7</f>
        <v>6724103.9220600007</v>
      </c>
      <c r="G9" s="194">
        <f>'Skjema total MA'!F7</f>
        <v>6324119.2612199988</v>
      </c>
      <c r="H9" s="231">
        <f>IF(F9=0, "    ---- ", IF(ABS(ROUND(100/F9*G9-100,1))&lt;999,ROUND(100/F9*G9-100,1),IF(ROUND(100/F9*G9-100,1)&gt;999,999,-999)))</f>
        <v>-5.9</v>
      </c>
      <c r="I9" s="180"/>
      <c r="J9" s="194">
        <f t="shared" ref="J9:K60" si="0">SUM(B9+F9)</f>
        <v>10677674.746380944</v>
      </c>
      <c r="K9" s="194">
        <f t="shared" si="0"/>
        <v>9983446.3998119868</v>
      </c>
      <c r="L9" s="229">
        <f>IF(J9=0, "    ---- ", IF(ABS(ROUND(100/J9*K9-100,1))&lt;999,ROUND(100/J9*K9-100,1),IF(ROUND(100/J9*K9-100,1)&gt;999,999,-999)))</f>
        <v>-6.5</v>
      </c>
      <c r="M9" s="72"/>
    </row>
    <row r="10" spans="1:13" ht="18.75" x14ac:dyDescent="0.3">
      <c r="A10" s="191" t="s">
        <v>121</v>
      </c>
      <c r="B10" s="102">
        <f>'Skjema total MA'!B22</f>
        <v>1065934.970738736</v>
      </c>
      <c r="C10" s="102">
        <f>'Skjema total MA'!C22</f>
        <v>1276825.7121585142</v>
      </c>
      <c r="D10" s="231">
        <f t="shared" ref="D10:D17" si="1">IF(B10=0, "    ---- ", IF(ABS(ROUND(100/B10*C10-100,1))&lt;999,ROUND(100/B10*C10-100,1),IF(ROUND(100/B10*C10-100,1)&gt;999,999,-999)))</f>
        <v>19.8</v>
      </c>
      <c r="E10" s="180"/>
      <c r="F10" s="194">
        <f>'Skjema total MA'!E22</f>
        <v>299554.95619025995</v>
      </c>
      <c r="G10" s="194">
        <f>'Skjema total MA'!F22</f>
        <v>277737.84161</v>
      </c>
      <c r="H10" s="231">
        <f t="shared" ref="H10:H57" si="2">IF(F10=0, "    ---- ", IF(ABS(ROUND(100/F10*G10-100,1))&lt;999,ROUND(100/F10*G10-100,1),IF(ROUND(100/F10*G10-100,1)&gt;999,999,-999)))</f>
        <v>-7.3</v>
      </c>
      <c r="I10" s="180"/>
      <c r="J10" s="194">
        <f t="shared" si="0"/>
        <v>1365489.9269289959</v>
      </c>
      <c r="K10" s="194">
        <f t="shared" si="0"/>
        <v>1554563.5537685142</v>
      </c>
      <c r="L10" s="229">
        <f t="shared" ref="L10:L60" si="3">IF(J10=0, "    ---- ", IF(ABS(ROUND(100/J10*K10-100,1))&lt;999,ROUND(100/J10*K10-100,1),IF(ROUND(100/J10*K10-100,1)&gt;999,999,-999)))</f>
        <v>13.8</v>
      </c>
      <c r="M10" s="72"/>
    </row>
    <row r="11" spans="1:13" ht="18.75" x14ac:dyDescent="0.3">
      <c r="A11" s="191" t="s">
        <v>122</v>
      </c>
      <c r="B11" s="102">
        <f>'Skjema total MA'!B45</f>
        <v>3242229.2983300001</v>
      </c>
      <c r="C11" s="102">
        <f>'Skjema total MA'!C45</f>
        <v>3338287.7907300005</v>
      </c>
      <c r="D11" s="231">
        <f t="shared" si="1"/>
        <v>3</v>
      </c>
      <c r="E11" s="180"/>
      <c r="F11" s="194"/>
      <c r="G11" s="194"/>
      <c r="H11" s="231"/>
      <c r="I11" s="180"/>
      <c r="J11" s="194">
        <f t="shared" si="0"/>
        <v>3242229.2983300001</v>
      </c>
      <c r="K11" s="194">
        <f t="shared" si="0"/>
        <v>3338287.7907300005</v>
      </c>
      <c r="L11" s="229">
        <f t="shared" si="3"/>
        <v>3</v>
      </c>
      <c r="M11" s="72"/>
    </row>
    <row r="12" spans="1:13" ht="18.75" x14ac:dyDescent="0.3">
      <c r="A12" s="191" t="s">
        <v>123</v>
      </c>
      <c r="B12" s="102">
        <f>'Skjema total MA'!B64</f>
        <v>10229612.916919999</v>
      </c>
      <c r="C12" s="102">
        <f>'Skjema total MA'!C64</f>
        <v>6787634.2055699993</v>
      </c>
      <c r="D12" s="231">
        <f t="shared" si="1"/>
        <v>-33.6</v>
      </c>
      <c r="E12" s="180"/>
      <c r="F12" s="194">
        <f>'Skjema total MA'!E64</f>
        <v>17062475.715580001</v>
      </c>
      <c r="G12" s="194">
        <f>'Skjema total MA'!F64</f>
        <v>19684863.982809998</v>
      </c>
      <c r="H12" s="231">
        <f t="shared" si="2"/>
        <v>15.4</v>
      </c>
      <c r="I12" s="180"/>
      <c r="J12" s="194">
        <f t="shared" si="0"/>
        <v>27292088.6325</v>
      </c>
      <c r="K12" s="194">
        <f t="shared" si="0"/>
        <v>26472498.188379996</v>
      </c>
      <c r="L12" s="229">
        <f t="shared" si="3"/>
        <v>-3</v>
      </c>
      <c r="M12" s="72"/>
    </row>
    <row r="13" spans="1:13" ht="18.75" x14ac:dyDescent="0.3">
      <c r="A13" s="191" t="s">
        <v>124</v>
      </c>
      <c r="B13" s="102">
        <f>'Skjema total MA'!B66</f>
        <v>147955.92223999999</v>
      </c>
      <c r="C13" s="102">
        <f>'Skjema total MA'!C66</f>
        <v>137950.46448</v>
      </c>
      <c r="D13" s="231">
        <f t="shared" si="1"/>
        <v>-6.8</v>
      </c>
      <c r="E13" s="180"/>
      <c r="F13" s="194">
        <f>'Skjema total MA'!E66</f>
        <v>16908944.702330001</v>
      </c>
      <c r="G13" s="194">
        <f>'Skjema total MA'!F66</f>
        <v>19462237.96314</v>
      </c>
      <c r="H13" s="231">
        <f t="shared" si="2"/>
        <v>15.1</v>
      </c>
      <c r="I13" s="180"/>
      <c r="J13" s="194">
        <f t="shared" si="0"/>
        <v>17056900.624570001</v>
      </c>
      <c r="K13" s="194">
        <f t="shared" si="0"/>
        <v>19600188.427620001</v>
      </c>
      <c r="L13" s="229">
        <f t="shared" si="3"/>
        <v>14.9</v>
      </c>
      <c r="M13" s="72"/>
    </row>
    <row r="14" spans="1:13" s="131" customFormat="1" ht="18.75" x14ac:dyDescent="0.3">
      <c r="A14" s="192" t="s">
        <v>125</v>
      </c>
      <c r="B14" s="129">
        <f>'Skjema total MA'!B73</f>
        <v>157192.16940000001</v>
      </c>
      <c r="C14" s="129">
        <f>'Skjema total MA'!C73</f>
        <v>196379.58338999999</v>
      </c>
      <c r="D14" s="231">
        <f t="shared" si="1"/>
        <v>24.9</v>
      </c>
      <c r="E14" s="181"/>
      <c r="F14" s="195">
        <f>'Skjema total MA'!E73</f>
        <v>153531.01324999999</v>
      </c>
      <c r="G14" s="195">
        <f>'Skjema total MA'!F73</f>
        <v>222626.01967000001</v>
      </c>
      <c r="H14" s="231">
        <f t="shared" si="2"/>
        <v>45</v>
      </c>
      <c r="I14" s="181"/>
      <c r="J14" s="194">
        <f t="shared" si="0"/>
        <v>310723.18264999997</v>
      </c>
      <c r="K14" s="194">
        <f t="shared" si="0"/>
        <v>419005.60305999999</v>
      </c>
      <c r="L14" s="229">
        <f t="shared" si="3"/>
        <v>34.799999999999997</v>
      </c>
      <c r="M14" s="130"/>
    </row>
    <row r="15" spans="1:13" ht="22.5" x14ac:dyDescent="0.3">
      <c r="A15" s="191" t="s">
        <v>373</v>
      </c>
      <c r="B15" s="102">
        <f>'Skjema total MA'!B132</f>
        <v>29596097.877</v>
      </c>
      <c r="C15" s="102">
        <f>'Skjema total MA'!C132</f>
        <v>26968745.670390002</v>
      </c>
      <c r="D15" s="231">
        <f t="shared" si="1"/>
        <v>-8.9</v>
      </c>
      <c r="E15" s="180"/>
      <c r="F15" s="194">
        <f>'Skjema total MA'!E132</f>
        <v>110318.236</v>
      </c>
      <c r="G15" s="194">
        <f>'Skjema total MA'!F132</f>
        <v>84881.887000000002</v>
      </c>
      <c r="H15" s="231">
        <f t="shared" si="2"/>
        <v>-23.1</v>
      </c>
      <c r="I15" s="180"/>
      <c r="J15" s="194">
        <f t="shared" si="0"/>
        <v>29706416.113000002</v>
      </c>
      <c r="K15" s="194">
        <f t="shared" si="0"/>
        <v>27053627.557390001</v>
      </c>
      <c r="L15" s="229">
        <f t="shared" si="3"/>
        <v>-8.9</v>
      </c>
      <c r="M15" s="72"/>
    </row>
    <row r="16" spans="1:13" ht="18.75" x14ac:dyDescent="0.3">
      <c r="A16" s="191" t="s">
        <v>126</v>
      </c>
      <c r="B16" s="102">
        <f>'Skjema total MA'!B34</f>
        <v>4033.855</v>
      </c>
      <c r="C16" s="102">
        <f>'Skjema total MA'!C34</f>
        <v>3154.1660000000002</v>
      </c>
      <c r="D16" s="231">
        <f t="shared" si="1"/>
        <v>-21.8</v>
      </c>
      <c r="E16" s="180"/>
      <c r="F16" s="194">
        <f>'Skjema total MA'!E34</f>
        <v>0</v>
      </c>
      <c r="G16" s="194">
        <f>'Skjema total MA'!F34</f>
        <v>0</v>
      </c>
      <c r="H16" s="231"/>
      <c r="I16" s="180"/>
      <c r="J16" s="194">
        <f t="shared" si="0"/>
        <v>4033.855</v>
      </c>
      <c r="K16" s="194">
        <f t="shared" si="0"/>
        <v>3154.1660000000002</v>
      </c>
      <c r="L16" s="229">
        <f t="shared" si="3"/>
        <v>-21.8</v>
      </c>
      <c r="M16" s="72"/>
    </row>
    <row r="17" spans="1:23" s="133" customFormat="1" ht="18.75" customHeight="1" x14ac:dyDescent="0.3">
      <c r="A17" s="135" t="s">
        <v>127</v>
      </c>
      <c r="B17" s="108">
        <f>'Tabel 1.1'!B31</f>
        <v>48091479.742309682</v>
      </c>
      <c r="C17" s="196">
        <f>'Tabel 1.1'!C31</f>
        <v>42033974.683440499</v>
      </c>
      <c r="D17" s="231">
        <f t="shared" si="1"/>
        <v>-12.6</v>
      </c>
      <c r="E17" s="136"/>
      <c r="F17" s="196">
        <f>'Tabel 1.1'!B45</f>
        <v>24196452.829830263</v>
      </c>
      <c r="G17" s="196">
        <f>'Tabel 1.1'!C45</f>
        <v>26371602.97264</v>
      </c>
      <c r="H17" s="231">
        <f t="shared" si="2"/>
        <v>9</v>
      </c>
      <c r="I17" s="136"/>
      <c r="J17" s="196">
        <f t="shared" si="0"/>
        <v>72287932.572139949</v>
      </c>
      <c r="K17" s="196">
        <f t="shared" si="0"/>
        <v>68405577.656080499</v>
      </c>
      <c r="L17" s="229">
        <f t="shared" si="3"/>
        <v>-5.4</v>
      </c>
      <c r="M17" s="73"/>
      <c r="N17" s="132"/>
      <c r="O17" s="132"/>
      <c r="Q17" s="134"/>
      <c r="R17" s="134"/>
      <c r="S17" s="134"/>
      <c r="T17" s="134"/>
      <c r="U17" s="134"/>
      <c r="V17" s="134"/>
      <c r="W17" s="134"/>
    </row>
    <row r="18" spans="1:23" ht="18.75" customHeight="1" x14ac:dyDescent="0.3">
      <c r="A18" s="135"/>
      <c r="B18" s="102"/>
      <c r="C18" s="194"/>
      <c r="D18" s="194"/>
      <c r="E18" s="180"/>
      <c r="F18" s="194"/>
      <c r="G18" s="194"/>
      <c r="H18" s="231"/>
      <c r="I18" s="180"/>
      <c r="J18" s="194"/>
      <c r="K18" s="194"/>
      <c r="L18" s="229"/>
      <c r="M18" s="72"/>
    </row>
    <row r="19" spans="1:23" ht="18.75" customHeight="1" x14ac:dyDescent="0.3">
      <c r="A19" s="190" t="s">
        <v>374</v>
      </c>
      <c r="B19" s="198"/>
      <c r="C19" s="201"/>
      <c r="D19" s="194"/>
      <c r="E19" s="180"/>
      <c r="F19" s="201"/>
      <c r="G19" s="201"/>
      <c r="H19" s="231"/>
      <c r="I19" s="180"/>
      <c r="J19" s="194"/>
      <c r="K19" s="194"/>
      <c r="L19" s="229"/>
      <c r="M19" s="72"/>
    </row>
    <row r="20" spans="1:23" ht="18.75" customHeight="1" x14ac:dyDescent="0.3">
      <c r="A20" s="191" t="s">
        <v>120</v>
      </c>
      <c r="B20" s="102">
        <f>'Skjema total MA'!B10</f>
        <v>24626581.124609999</v>
      </c>
      <c r="C20" s="102">
        <f>'Skjema total MA'!C10</f>
        <v>22483942.564759027</v>
      </c>
      <c r="D20" s="231">
        <f>IF(B20=0, "    ---- ", IF(ABS(ROUND(100/B20*C20-100,1))&lt;999,ROUND(100/B20*C20-100,1),IF(ROUND(100/B20*C20-100,1)&gt;999,999,-999)))</f>
        <v>-8.6999999999999993</v>
      </c>
      <c r="E20" s="180"/>
      <c r="F20" s="194">
        <f>'Skjema total MA'!E10</f>
        <v>30427717.177898698</v>
      </c>
      <c r="G20" s="194">
        <f>'Skjema total MA'!F10</f>
        <v>39073624.165710099</v>
      </c>
      <c r="H20" s="231">
        <f t="shared" si="2"/>
        <v>28.4</v>
      </c>
      <c r="I20" s="180"/>
      <c r="J20" s="194">
        <f t="shared" si="0"/>
        <v>55054298.302508697</v>
      </c>
      <c r="K20" s="194">
        <f t="shared" si="0"/>
        <v>61557566.730469123</v>
      </c>
      <c r="L20" s="229">
        <f t="shared" si="3"/>
        <v>11.8</v>
      </c>
      <c r="M20" s="72"/>
    </row>
    <row r="21" spans="1:23" ht="18.75" customHeight="1" x14ac:dyDescent="0.3">
      <c r="A21" s="191" t="s">
        <v>121</v>
      </c>
      <c r="B21" s="102">
        <f>'Skjema total MA'!B28</f>
        <v>52064065.227430001</v>
      </c>
      <c r="C21" s="102">
        <f>'Skjema total MA'!C28</f>
        <v>51107305.404628068</v>
      </c>
      <c r="D21" s="231">
        <f t="shared" ref="D21:D27" si="4">IF(B21=0, "    ---- ", IF(ABS(ROUND(100/B21*C21-100,1))&lt;999,ROUND(100/B21*C21-100,1),IF(ROUND(100/B21*C21-100,1)&gt;999,999,-999)))</f>
        <v>-1.8</v>
      </c>
      <c r="E21" s="180"/>
      <c r="F21" s="194">
        <f>'Skjema total MA'!E28</f>
        <v>18742269.135259997</v>
      </c>
      <c r="G21" s="194">
        <f>'Skjema total MA'!F28</f>
        <v>19537815.335500002</v>
      </c>
      <c r="H21" s="231">
        <f t="shared" si="2"/>
        <v>4.2</v>
      </c>
      <c r="I21" s="180"/>
      <c r="J21" s="194">
        <f t="shared" si="0"/>
        <v>70806334.362690002</v>
      </c>
      <c r="K21" s="194">
        <f t="shared" si="0"/>
        <v>70645120.74012807</v>
      </c>
      <c r="L21" s="229">
        <f t="shared" si="3"/>
        <v>-0.2</v>
      </c>
      <c r="M21" s="72"/>
    </row>
    <row r="22" spans="1:23" ht="18.75" x14ac:dyDescent="0.3">
      <c r="A22" s="191" t="s">
        <v>123</v>
      </c>
      <c r="B22" s="102">
        <f>'Skjema total MA'!B85</f>
        <v>377727171.23768997</v>
      </c>
      <c r="C22" s="102">
        <f>'Skjema total MA'!C85</f>
        <v>375671192.18852288</v>
      </c>
      <c r="D22" s="231">
        <f t="shared" si="4"/>
        <v>-0.5</v>
      </c>
      <c r="E22" s="180"/>
      <c r="F22" s="194">
        <f>'Skjema total MA'!E85</f>
        <v>166953504.1324313</v>
      </c>
      <c r="G22" s="194">
        <f>'Skjema total MA'!F85</f>
        <v>210528447.54627991</v>
      </c>
      <c r="H22" s="231">
        <f t="shared" si="2"/>
        <v>26.1</v>
      </c>
      <c r="I22" s="180"/>
      <c r="J22" s="194">
        <f t="shared" si="0"/>
        <v>544680675.37012124</v>
      </c>
      <c r="K22" s="194">
        <f t="shared" si="0"/>
        <v>586199639.73480272</v>
      </c>
      <c r="L22" s="229">
        <f t="shared" si="3"/>
        <v>7.6</v>
      </c>
      <c r="M22" s="72"/>
    </row>
    <row r="23" spans="1:23" ht="22.5" x14ac:dyDescent="0.3">
      <c r="A23" s="191" t="s">
        <v>128</v>
      </c>
      <c r="B23" s="102">
        <f>'Skjema total MA'!B87</f>
        <v>2224505.3763299999</v>
      </c>
      <c r="C23" s="102">
        <f>'Skjema total MA'!C87</f>
        <v>2502034.6195535795</v>
      </c>
      <c r="D23" s="231">
        <f t="shared" si="4"/>
        <v>12.5</v>
      </c>
      <c r="E23" s="180"/>
      <c r="F23" s="194">
        <f>'Skjema total MA'!E87</f>
        <v>166796838.10495132</v>
      </c>
      <c r="G23" s="194">
        <f>'Skjema total MA'!F87</f>
        <v>209912156.94425991</v>
      </c>
      <c r="H23" s="231">
        <f t="shared" si="2"/>
        <v>25.8</v>
      </c>
      <c r="I23" s="180"/>
      <c r="J23" s="194">
        <f t="shared" si="0"/>
        <v>169021343.48128131</v>
      </c>
      <c r="K23" s="194">
        <f t="shared" si="0"/>
        <v>212414191.56381348</v>
      </c>
      <c r="L23" s="229">
        <f t="shared" si="3"/>
        <v>25.7</v>
      </c>
      <c r="M23" s="72"/>
    </row>
    <row r="24" spans="1:23" ht="18.75" x14ac:dyDescent="0.3">
      <c r="A24" s="192" t="s">
        <v>125</v>
      </c>
      <c r="B24" s="102">
        <f>'Skjema total MA'!B94</f>
        <v>81802.820999999996</v>
      </c>
      <c r="C24" s="102">
        <f>'Skjema total MA'!C94</f>
        <v>327426.80781000003</v>
      </c>
      <c r="D24" s="231">
        <f t="shared" si="4"/>
        <v>300.3</v>
      </c>
      <c r="E24" s="180"/>
      <c r="F24" s="194">
        <f>'Skjema total MA'!E94</f>
        <v>156666.02747999999</v>
      </c>
      <c r="G24" s="194">
        <f>'Skjema total MA'!F94</f>
        <v>616290.60201999999</v>
      </c>
      <c r="H24" s="231">
        <f t="shared" si="2"/>
        <v>293.39999999999998</v>
      </c>
      <c r="I24" s="180"/>
      <c r="J24" s="194">
        <f t="shared" si="0"/>
        <v>238468.84847999999</v>
      </c>
      <c r="K24" s="194">
        <f t="shared" si="0"/>
        <v>943717.40983000002</v>
      </c>
      <c r="L24" s="229">
        <f t="shared" si="3"/>
        <v>295.7</v>
      </c>
      <c r="M24" s="72"/>
    </row>
    <row r="25" spans="1:23" ht="22.5" x14ac:dyDescent="0.3">
      <c r="A25" s="191" t="s">
        <v>373</v>
      </c>
      <c r="B25" s="102">
        <f>'Skjema total MA'!B133</f>
        <v>485215148.15420002</v>
      </c>
      <c r="C25" s="102">
        <f>'Skjema total MA'!C133</f>
        <v>511066919.56677002</v>
      </c>
      <c r="D25" s="231">
        <f t="shared" si="4"/>
        <v>5.3</v>
      </c>
      <c r="E25" s="180"/>
      <c r="F25" s="194">
        <f>'Skjema total MA'!E133</f>
        <v>2160404.7961499998</v>
      </c>
      <c r="G25" s="194">
        <f>'Skjema total MA'!F133</f>
        <v>2330198.9161499999</v>
      </c>
      <c r="H25" s="231">
        <f t="shared" si="2"/>
        <v>7.9</v>
      </c>
      <c r="I25" s="180"/>
      <c r="J25" s="194">
        <f t="shared" si="0"/>
        <v>487375552.95035005</v>
      </c>
      <c r="K25" s="194">
        <f t="shared" si="0"/>
        <v>513397118.48291999</v>
      </c>
      <c r="L25" s="229">
        <f t="shared" si="3"/>
        <v>5.3</v>
      </c>
      <c r="M25" s="72"/>
    </row>
    <row r="26" spans="1:23" ht="18.75" x14ac:dyDescent="0.3">
      <c r="A26" s="191" t="s">
        <v>126</v>
      </c>
      <c r="B26" s="102">
        <f>'Skjema total MA'!B35</f>
        <v>4193047.889</v>
      </c>
      <c r="C26" s="102">
        <f>'Skjema total MA'!C35</f>
        <v>4063235.4939999999</v>
      </c>
      <c r="D26" s="231">
        <f t="shared" si="4"/>
        <v>-3.1</v>
      </c>
      <c r="E26" s="180"/>
      <c r="F26" s="194">
        <f>'Skjema total MA'!E35</f>
        <v>0</v>
      </c>
      <c r="G26" s="194">
        <f>'Skjema total MA'!F35</f>
        <v>0</v>
      </c>
      <c r="H26" s="231"/>
      <c r="I26" s="180"/>
      <c r="J26" s="194">
        <f t="shared" si="0"/>
        <v>4193047.889</v>
      </c>
      <c r="K26" s="194">
        <f t="shared" si="0"/>
        <v>4063235.4939999999</v>
      </c>
      <c r="L26" s="229">
        <f t="shared" si="3"/>
        <v>-3.1</v>
      </c>
      <c r="M26" s="72"/>
    </row>
    <row r="27" spans="1:23" s="133" customFormat="1" ht="18.75" x14ac:dyDescent="0.3">
      <c r="A27" s="135" t="s">
        <v>129</v>
      </c>
      <c r="B27" s="108">
        <f>'Tabel 1.1'!G31</f>
        <v>943826013.63293004</v>
      </c>
      <c r="C27" s="196">
        <f>'Tabel 1.1'!H31</f>
        <v>964392595.21868002</v>
      </c>
      <c r="D27" s="231">
        <f t="shared" si="4"/>
        <v>2.2000000000000002</v>
      </c>
      <c r="E27" s="136"/>
      <c r="F27" s="196">
        <f>'Tabel 1.1'!G45</f>
        <v>218283895.24173999</v>
      </c>
      <c r="G27" s="196">
        <f>'Tabel 1.1'!H45</f>
        <v>271470085.96363997</v>
      </c>
      <c r="H27" s="231">
        <f t="shared" si="2"/>
        <v>24.4</v>
      </c>
      <c r="I27" s="136"/>
      <c r="J27" s="196">
        <f t="shared" si="0"/>
        <v>1162109908.87467</v>
      </c>
      <c r="K27" s="196">
        <f t="shared" si="0"/>
        <v>1235862681.1823201</v>
      </c>
      <c r="L27" s="229">
        <f t="shared" si="3"/>
        <v>6.3</v>
      </c>
      <c r="M27" s="73"/>
      <c r="N27" s="132"/>
      <c r="O27" s="132"/>
    </row>
    <row r="28" spans="1:23" ht="18.75" x14ac:dyDescent="0.3">
      <c r="A28" s="135"/>
      <c r="B28" s="102"/>
      <c r="C28" s="194"/>
      <c r="D28" s="231"/>
      <c r="E28" s="180"/>
      <c r="F28" s="194"/>
      <c r="G28" s="194"/>
      <c r="H28" s="231"/>
      <c r="I28" s="180"/>
      <c r="J28" s="194">
        <f t="shared" si="0"/>
        <v>0</v>
      </c>
      <c r="K28" s="194">
        <f t="shared" si="0"/>
        <v>0</v>
      </c>
      <c r="L28" s="229"/>
      <c r="M28" s="72"/>
    </row>
    <row r="29" spans="1:23" ht="22.5" x14ac:dyDescent="0.3">
      <c r="A29" s="190" t="s">
        <v>375</v>
      </c>
      <c r="B29" s="198"/>
      <c r="C29" s="201"/>
      <c r="D29" s="194"/>
      <c r="E29" s="180"/>
      <c r="F29" s="194"/>
      <c r="G29" s="194"/>
      <c r="H29" s="231"/>
      <c r="I29" s="180"/>
      <c r="J29" s="194"/>
      <c r="K29" s="194"/>
      <c r="L29" s="229"/>
      <c r="M29" s="72"/>
    </row>
    <row r="30" spans="1:23" ht="18.75" x14ac:dyDescent="0.3">
      <c r="A30" s="191" t="s">
        <v>120</v>
      </c>
      <c r="B30" s="102">
        <f>'Skjema total MA'!B11</f>
        <v>63032</v>
      </c>
      <c r="C30" s="102">
        <f>'Skjema total MA'!C11</f>
        <v>85448</v>
      </c>
      <c r="D30" s="231">
        <f>IF(B30=0, "    ---- ", IF(ABS(ROUND(100/B30*C30-100,1))&lt;999,ROUND(100/B30*C30-100,1),IF(ROUND(100/B30*C30-100,1)&gt;999,999,-999)))</f>
        <v>35.6</v>
      </c>
      <c r="E30" s="180"/>
      <c r="F30" s="194">
        <f>'Skjema total MA'!E11</f>
        <v>295253.58949999994</v>
      </c>
      <c r="G30" s="194">
        <f>'Skjema total MA'!F11</f>
        <v>198073.64567</v>
      </c>
      <c r="H30" s="231">
        <f t="shared" si="2"/>
        <v>-32.9</v>
      </c>
      <c r="I30" s="180"/>
      <c r="J30" s="194">
        <f t="shared" si="0"/>
        <v>358285.58949999994</v>
      </c>
      <c r="K30" s="194">
        <f t="shared" si="0"/>
        <v>283521.64567</v>
      </c>
      <c r="L30" s="229">
        <f t="shared" si="3"/>
        <v>-20.9</v>
      </c>
      <c r="M30" s="72"/>
    </row>
    <row r="31" spans="1:23" ht="18.75" x14ac:dyDescent="0.3">
      <c r="A31" s="191" t="s">
        <v>121</v>
      </c>
      <c r="B31" s="102">
        <f>'Skjema total MA'!B32</f>
        <v>33862.731230000005</v>
      </c>
      <c r="C31" s="102">
        <f>'Skjema total MA'!C32</f>
        <v>34943.284939999998</v>
      </c>
      <c r="D31" s="231">
        <f t="shared" ref="D31:D38" si="5">IF(B31=0, "    ---- ", IF(ABS(ROUND(100/B31*C31-100,1))&lt;999,ROUND(100/B31*C31-100,1),IF(ROUND(100/B31*C31-100,1)&gt;999,999,-999)))</f>
        <v>3.2</v>
      </c>
      <c r="E31" s="180"/>
      <c r="F31" s="194">
        <f>'Skjema total MA'!E32</f>
        <v>17337.10987</v>
      </c>
      <c r="G31" s="194">
        <f>'Skjema total MA'!F32</f>
        <v>7689.927020000001</v>
      </c>
      <c r="H31" s="231">
        <f t="shared" si="2"/>
        <v>-55.6</v>
      </c>
      <c r="I31" s="180"/>
      <c r="J31" s="194">
        <f t="shared" si="0"/>
        <v>51199.841100000005</v>
      </c>
      <c r="K31" s="194">
        <f t="shared" si="0"/>
        <v>42633.211960000001</v>
      </c>
      <c r="L31" s="229">
        <f t="shared" si="3"/>
        <v>-16.7</v>
      </c>
      <c r="M31" s="72"/>
    </row>
    <row r="32" spans="1:23" ht="18.75" x14ac:dyDescent="0.3">
      <c r="A32" s="191" t="s">
        <v>123</v>
      </c>
      <c r="B32" s="102">
        <f>'Skjema total MA'!B109</f>
        <v>717586.25019000005</v>
      </c>
      <c r="C32" s="102">
        <f>'Skjema total MA'!C109</f>
        <v>465455.61206000001</v>
      </c>
      <c r="D32" s="231">
        <f t="shared" si="5"/>
        <v>-35.1</v>
      </c>
      <c r="E32" s="180"/>
      <c r="F32" s="194">
        <f>'Skjema total MA'!E109</f>
        <v>4478950.7775999997</v>
      </c>
      <c r="G32" s="194">
        <f>'Skjema total MA'!F109</f>
        <v>8217634.9584799996</v>
      </c>
      <c r="H32" s="231">
        <f t="shared" si="2"/>
        <v>83.5</v>
      </c>
      <c r="I32" s="180"/>
      <c r="J32" s="194">
        <f t="shared" si="0"/>
        <v>5196537.0277899997</v>
      </c>
      <c r="K32" s="194">
        <f t="shared" si="0"/>
        <v>8683090.5705399998</v>
      </c>
      <c r="L32" s="229">
        <f t="shared" si="3"/>
        <v>67.099999999999994</v>
      </c>
      <c r="M32" s="72"/>
    </row>
    <row r="33" spans="1:15" ht="22.5" x14ac:dyDescent="0.3">
      <c r="A33" s="191" t="s">
        <v>373</v>
      </c>
      <c r="B33" s="102">
        <f>'Skjema total MA'!B134</f>
        <v>3531655.2910000002</v>
      </c>
      <c r="C33" s="102">
        <f>'Skjema total MA'!C134</f>
        <v>183490.30300000001</v>
      </c>
      <c r="D33" s="231">
        <f t="shared" si="5"/>
        <v>-94.8</v>
      </c>
      <c r="E33" s="180"/>
      <c r="F33" s="194">
        <f>'Skjema total MA'!E134</f>
        <v>-300.541</v>
      </c>
      <c r="G33" s="194">
        <f>'Skjema total MA'!F134</f>
        <v>24988.125</v>
      </c>
      <c r="H33" s="231">
        <f t="shared" si="2"/>
        <v>-999</v>
      </c>
      <c r="I33" s="180"/>
      <c r="J33" s="194">
        <f t="shared" si="0"/>
        <v>3531354.75</v>
      </c>
      <c r="K33" s="194">
        <f t="shared" si="0"/>
        <v>208478.42800000001</v>
      </c>
      <c r="L33" s="229">
        <f t="shared" si="3"/>
        <v>-94.1</v>
      </c>
      <c r="M33" s="72"/>
    </row>
    <row r="34" spans="1:15" ht="18.75" x14ac:dyDescent="0.3">
      <c r="A34" s="191" t="s">
        <v>126</v>
      </c>
      <c r="B34" s="102">
        <f>'Skjema total MA'!B36</f>
        <v>0</v>
      </c>
      <c r="C34" s="102">
        <f>'Skjema total MA'!C36</f>
        <v>0</v>
      </c>
      <c r="D34" s="231"/>
      <c r="E34" s="180"/>
      <c r="F34" s="194">
        <f>'Skjema total MA'!E36</f>
        <v>0</v>
      </c>
      <c r="G34" s="194">
        <f>'Skjema total MA'!F36</f>
        <v>0</v>
      </c>
      <c r="H34" s="231"/>
      <c r="I34" s="180"/>
      <c r="J34" s="194">
        <f t="shared" si="0"/>
        <v>0</v>
      </c>
      <c r="K34" s="194">
        <f t="shared" si="0"/>
        <v>0</v>
      </c>
      <c r="L34" s="229"/>
      <c r="M34" s="72"/>
    </row>
    <row r="35" spans="1:15" s="133" customFormat="1" ht="18.75" x14ac:dyDescent="0.3">
      <c r="A35" s="135" t="s">
        <v>130</v>
      </c>
      <c r="B35" s="108">
        <f>SUM(B30:B34)</f>
        <v>4346136.2724200003</v>
      </c>
      <c r="C35" s="196">
        <f>SUM(C30:C34)</f>
        <v>769337.2</v>
      </c>
      <c r="D35" s="231">
        <f t="shared" si="5"/>
        <v>-82.3</v>
      </c>
      <c r="E35" s="136"/>
      <c r="F35" s="196">
        <f>SUM(F30:F34)</f>
        <v>4791240.9359699991</v>
      </c>
      <c r="G35" s="196">
        <f>SUM(G30:G34)</f>
        <v>8448386.6561699994</v>
      </c>
      <c r="H35" s="231">
        <f t="shared" si="2"/>
        <v>76.3</v>
      </c>
      <c r="I35" s="136"/>
      <c r="J35" s="196">
        <f t="shared" si="0"/>
        <v>9137377.2083899993</v>
      </c>
      <c r="K35" s="196">
        <f t="shared" si="0"/>
        <v>9217723.8561699986</v>
      </c>
      <c r="L35" s="229">
        <f t="shared" si="3"/>
        <v>0.9</v>
      </c>
      <c r="M35" s="73"/>
    </row>
    <row r="36" spans="1:15" ht="18.75" x14ac:dyDescent="0.3">
      <c r="A36" s="135"/>
      <c r="B36" s="108"/>
      <c r="C36" s="196"/>
      <c r="D36" s="231"/>
      <c r="E36" s="136"/>
      <c r="F36" s="196"/>
      <c r="G36" s="196"/>
      <c r="H36" s="231"/>
      <c r="I36" s="136"/>
      <c r="J36" s="194"/>
      <c r="K36" s="194"/>
      <c r="L36" s="229"/>
      <c r="M36" s="72"/>
    </row>
    <row r="37" spans="1:15" ht="22.5" x14ac:dyDescent="0.3">
      <c r="A37" s="135" t="s">
        <v>376</v>
      </c>
      <c r="B37" s="108"/>
      <c r="C37" s="196"/>
      <c r="D37" s="194"/>
      <c r="E37" s="136"/>
      <c r="F37" s="196"/>
      <c r="G37" s="196"/>
      <c r="H37" s="231"/>
      <c r="I37" s="136"/>
      <c r="J37" s="194"/>
      <c r="K37" s="194"/>
      <c r="L37" s="229"/>
      <c r="M37" s="72"/>
    </row>
    <row r="38" spans="1:15" s="133" customFormat="1" ht="18.75" x14ac:dyDescent="0.3">
      <c r="A38" s="135" t="s">
        <v>122</v>
      </c>
      <c r="B38" s="108">
        <f>'Skjema total MA'!B51</f>
        <v>134178.15100000001</v>
      </c>
      <c r="C38" s="108">
        <f>'Skjema total MA'!C51</f>
        <v>151822.80799999999</v>
      </c>
      <c r="D38" s="231">
        <f t="shared" si="5"/>
        <v>13.2</v>
      </c>
      <c r="E38" s="136"/>
      <c r="F38" s="196"/>
      <c r="G38" s="196"/>
      <c r="H38" s="231"/>
      <c r="I38" s="136"/>
      <c r="J38" s="196">
        <f t="shared" si="0"/>
        <v>134178.15100000001</v>
      </c>
      <c r="K38" s="196">
        <f t="shared" si="0"/>
        <v>151822.80799999999</v>
      </c>
      <c r="L38" s="229">
        <f t="shared" si="3"/>
        <v>13.2</v>
      </c>
      <c r="M38" s="73"/>
    </row>
    <row r="39" spans="1:15" ht="18.75" x14ac:dyDescent="0.3">
      <c r="A39" s="135"/>
      <c r="B39" s="108"/>
      <c r="C39" s="196"/>
      <c r="D39" s="194"/>
      <c r="E39" s="136"/>
      <c r="F39" s="196"/>
      <c r="G39" s="196"/>
      <c r="H39" s="231"/>
      <c r="I39" s="136"/>
      <c r="J39" s="194"/>
      <c r="K39" s="194"/>
      <c r="L39" s="229"/>
      <c r="M39" s="72"/>
    </row>
    <row r="40" spans="1:15" ht="22.5" x14ac:dyDescent="0.3">
      <c r="A40" s="190" t="s">
        <v>377</v>
      </c>
      <c r="B40" s="198"/>
      <c r="C40" s="201"/>
      <c r="D40" s="194"/>
      <c r="E40" s="180"/>
      <c r="F40" s="194"/>
      <c r="G40" s="194"/>
      <c r="H40" s="231"/>
      <c r="I40" s="180"/>
      <c r="J40" s="194"/>
      <c r="K40" s="194"/>
      <c r="L40" s="229"/>
      <c r="M40" s="72"/>
    </row>
    <row r="41" spans="1:15" ht="18.75" x14ac:dyDescent="0.3">
      <c r="A41" s="191" t="s">
        <v>120</v>
      </c>
      <c r="B41" s="102">
        <f>'Skjema total MA'!B12</f>
        <v>33791.74</v>
      </c>
      <c r="C41" s="102">
        <f>'Skjema total MA'!C12</f>
        <v>27591</v>
      </c>
      <c r="D41" s="231">
        <f t="shared" ref="D41:D46" si="6">IF(B41=0, "    ---- ", IF(ABS(ROUND(100/B41*C41-100,1))&lt;999,ROUND(100/B41*C41-100,1),IF(ROUND(100/B41*C41-100,1)&gt;999,999,-999)))</f>
        <v>-18.3</v>
      </c>
      <c r="E41" s="180"/>
      <c r="F41" s="194">
        <f>'Skjema total MA'!E12</f>
        <v>115857.86216000002</v>
      </c>
      <c r="G41" s="194">
        <f>'Skjema total MA'!F12</f>
        <v>99300.534229999903</v>
      </c>
      <c r="H41" s="231">
        <f t="shared" si="2"/>
        <v>-14.3</v>
      </c>
      <c r="I41" s="180"/>
      <c r="J41" s="194">
        <f t="shared" si="0"/>
        <v>149649.60216000001</v>
      </c>
      <c r="K41" s="194">
        <f t="shared" si="0"/>
        <v>126891.5342299999</v>
      </c>
      <c r="L41" s="229">
        <f t="shared" si="3"/>
        <v>-15.2</v>
      </c>
      <c r="M41" s="72"/>
    </row>
    <row r="42" spans="1:15" ht="18.75" x14ac:dyDescent="0.3">
      <c r="A42" s="191" t="s">
        <v>121</v>
      </c>
      <c r="B42" s="102">
        <f>'Skjema total MA'!B33</f>
        <v>-57807.580529999999</v>
      </c>
      <c r="C42" s="102">
        <f>'Skjema total MA'!C33</f>
        <v>-57344.134640000004</v>
      </c>
      <c r="D42" s="231">
        <f t="shared" si="6"/>
        <v>-0.8</v>
      </c>
      <c r="E42" s="180"/>
      <c r="F42" s="194">
        <f>'Skjema total MA'!E33</f>
        <v>76846.332490000001</v>
      </c>
      <c r="G42" s="194">
        <f>'Skjema total MA'!F33</f>
        <v>82008.850169999991</v>
      </c>
      <c r="H42" s="231">
        <f t="shared" si="2"/>
        <v>6.7</v>
      </c>
      <c r="I42" s="180"/>
      <c r="J42" s="194">
        <f t="shared" si="0"/>
        <v>19038.751960000001</v>
      </c>
      <c r="K42" s="194">
        <f t="shared" si="0"/>
        <v>24664.715529999987</v>
      </c>
      <c r="L42" s="229">
        <f t="shared" si="3"/>
        <v>29.6</v>
      </c>
      <c r="M42" s="72"/>
    </row>
    <row r="43" spans="1:15" ht="18.75" x14ac:dyDescent="0.3">
      <c r="A43" s="191" t="s">
        <v>123</v>
      </c>
      <c r="B43" s="102">
        <f>'Skjema total MA'!B117</f>
        <v>739317.66636000015</v>
      </c>
      <c r="C43" s="102">
        <f>'Skjema total MA'!C117</f>
        <v>377145.14794000011</v>
      </c>
      <c r="D43" s="231">
        <f t="shared" si="6"/>
        <v>-49</v>
      </c>
      <c r="E43" s="180"/>
      <c r="F43" s="194">
        <f>'Skjema total MA'!E117</f>
        <v>4567854.3615800003</v>
      </c>
      <c r="G43" s="194">
        <f>'Skjema total MA'!F117</f>
        <v>8192791.2536800001</v>
      </c>
      <c r="H43" s="231">
        <f t="shared" si="2"/>
        <v>79.400000000000006</v>
      </c>
      <c r="I43" s="180"/>
      <c r="J43" s="194">
        <f t="shared" si="0"/>
        <v>5307172.0279400004</v>
      </c>
      <c r="K43" s="194">
        <f t="shared" si="0"/>
        <v>8569936.4016200006</v>
      </c>
      <c r="L43" s="229">
        <f t="shared" si="3"/>
        <v>61.5</v>
      </c>
      <c r="M43" s="72"/>
    </row>
    <row r="44" spans="1:15" ht="22.5" x14ac:dyDescent="0.3">
      <c r="A44" s="191" t="s">
        <v>373</v>
      </c>
      <c r="B44" s="102">
        <f>'Skjema total MA'!B135</f>
        <v>1924392.1090000002</v>
      </c>
      <c r="C44" s="102">
        <f>'Skjema total MA'!C135</f>
        <v>358485.45999999996</v>
      </c>
      <c r="D44" s="231">
        <f t="shared" si="6"/>
        <v>-81.400000000000006</v>
      </c>
      <c r="E44" s="180"/>
      <c r="F44" s="194">
        <f>'Skjema total MA'!E135</f>
        <v>0</v>
      </c>
      <c r="G44" s="194">
        <f>'Skjema total MA'!F135</f>
        <v>0</v>
      </c>
      <c r="H44" s="231"/>
      <c r="I44" s="180"/>
      <c r="J44" s="194">
        <f t="shared" si="0"/>
        <v>1924392.1090000002</v>
      </c>
      <c r="K44" s="194">
        <f t="shared" si="0"/>
        <v>358485.45999999996</v>
      </c>
      <c r="L44" s="229">
        <f t="shared" si="3"/>
        <v>-81.400000000000006</v>
      </c>
      <c r="M44" s="72"/>
    </row>
    <row r="45" spans="1:15" ht="18.75" x14ac:dyDescent="0.3">
      <c r="A45" s="191" t="s">
        <v>126</v>
      </c>
      <c r="B45" s="102">
        <f>'Skjema total MA'!B37</f>
        <v>13</v>
      </c>
      <c r="C45" s="102">
        <f>'Skjema total MA'!C37</f>
        <v>4</v>
      </c>
      <c r="D45" s="231">
        <f t="shared" si="6"/>
        <v>-69.2</v>
      </c>
      <c r="E45" s="180"/>
      <c r="F45" s="194"/>
      <c r="G45" s="194"/>
      <c r="H45" s="231"/>
      <c r="I45" s="180"/>
      <c r="J45" s="194">
        <f t="shared" si="0"/>
        <v>13</v>
      </c>
      <c r="K45" s="194">
        <f t="shared" si="0"/>
        <v>4</v>
      </c>
      <c r="L45" s="229">
        <f t="shared" si="3"/>
        <v>-69.2</v>
      </c>
      <c r="M45" s="72"/>
    </row>
    <row r="46" spans="1:15" s="133" customFormat="1" ht="18.75" x14ac:dyDescent="0.3">
      <c r="A46" s="135" t="s">
        <v>131</v>
      </c>
      <c r="B46" s="108">
        <f>SUM(B41:B45)</f>
        <v>2639706.9348300002</v>
      </c>
      <c r="C46" s="196">
        <f>SUM(C41:C45)</f>
        <v>705881.47330000007</v>
      </c>
      <c r="D46" s="231">
        <f t="shared" si="6"/>
        <v>-73.3</v>
      </c>
      <c r="E46" s="136"/>
      <c r="F46" s="196">
        <f>SUM(F41:F45)</f>
        <v>4760558.5562300002</v>
      </c>
      <c r="G46" s="269">
        <f>SUM(G41:G45)</f>
        <v>8374100.6380799999</v>
      </c>
      <c r="H46" s="231">
        <f t="shared" si="2"/>
        <v>75.900000000000006</v>
      </c>
      <c r="I46" s="136"/>
      <c r="J46" s="196">
        <f t="shared" si="0"/>
        <v>7400265.4910599999</v>
      </c>
      <c r="K46" s="196">
        <f t="shared" si="0"/>
        <v>9079982.1113799997</v>
      </c>
      <c r="L46" s="229">
        <f t="shared" si="3"/>
        <v>22.7</v>
      </c>
      <c r="M46" s="73"/>
      <c r="N46" s="132"/>
      <c r="O46" s="132"/>
    </row>
    <row r="47" spans="1:15" ht="18.75" x14ac:dyDescent="0.3">
      <c r="A47" s="135"/>
      <c r="B47" s="108"/>
      <c r="C47" s="196"/>
      <c r="D47" s="194"/>
      <c r="E47" s="136"/>
      <c r="F47" s="196"/>
      <c r="G47" s="196"/>
      <c r="H47" s="231"/>
      <c r="I47" s="136"/>
      <c r="J47" s="194"/>
      <c r="K47" s="194"/>
      <c r="L47" s="229"/>
      <c r="M47" s="72"/>
    </row>
    <row r="48" spans="1:15" ht="22.5" x14ac:dyDescent="0.3">
      <c r="A48" s="135" t="s">
        <v>378</v>
      </c>
      <c r="B48" s="108"/>
      <c r="C48" s="196"/>
      <c r="D48" s="194"/>
      <c r="E48" s="136"/>
      <c r="F48" s="196"/>
      <c r="G48" s="196"/>
      <c r="H48" s="231"/>
      <c r="I48" s="136"/>
      <c r="J48" s="194"/>
      <c r="K48" s="194"/>
      <c r="L48" s="229"/>
      <c r="M48" s="72"/>
    </row>
    <row r="49" spans="1:15" s="133" customFormat="1" ht="18.75" x14ac:dyDescent="0.3">
      <c r="A49" s="135" t="s">
        <v>122</v>
      </c>
      <c r="B49" s="108">
        <f>'Skjema total MA'!B54</f>
        <v>117361.62199999999</v>
      </c>
      <c r="C49" s="108">
        <f>'Skjema total MA'!C54</f>
        <v>112204.745</v>
      </c>
      <c r="D49" s="231">
        <f>IF(B49=0, "    ---- ", IF(ABS(ROUND(100/B49*C49-100,1))&lt;999,ROUND(100/B49*C49-100,1),IF(ROUND(100/B49*C49-100,1)&gt;999,999,-999)))</f>
        <v>-4.4000000000000004</v>
      </c>
      <c r="E49" s="136"/>
      <c r="F49" s="196"/>
      <c r="G49" s="196"/>
      <c r="H49" s="231"/>
      <c r="I49" s="136"/>
      <c r="J49" s="196">
        <f>SUM(B49+F49)</f>
        <v>117361.62199999999</v>
      </c>
      <c r="K49" s="196">
        <f>SUM(C49+G49)</f>
        <v>112204.745</v>
      </c>
      <c r="L49" s="229">
        <f t="shared" si="3"/>
        <v>-4.4000000000000004</v>
      </c>
      <c r="M49" s="73"/>
    </row>
    <row r="50" spans="1:15" ht="18.75" x14ac:dyDescent="0.3">
      <c r="A50" s="135"/>
      <c r="B50" s="102"/>
      <c r="C50" s="194"/>
      <c r="D50" s="194"/>
      <c r="E50" s="180"/>
      <c r="F50" s="194"/>
      <c r="G50" s="194"/>
      <c r="H50" s="231"/>
      <c r="I50" s="180"/>
      <c r="J50" s="194"/>
      <c r="K50" s="194"/>
      <c r="L50" s="229"/>
      <c r="M50" s="72"/>
    </row>
    <row r="51" spans="1:15" ht="21.75" x14ac:dyDescent="0.3">
      <c r="A51" s="190" t="s">
        <v>379</v>
      </c>
      <c r="B51" s="102"/>
      <c r="C51" s="194"/>
      <c r="D51" s="194"/>
      <c r="E51" s="180"/>
      <c r="F51" s="194"/>
      <c r="G51" s="194"/>
      <c r="H51" s="231"/>
      <c r="I51" s="180"/>
      <c r="J51" s="194"/>
      <c r="K51" s="194"/>
      <c r="L51" s="229"/>
      <c r="M51" s="72"/>
    </row>
    <row r="52" spans="1:15" ht="18.75" x14ac:dyDescent="0.3">
      <c r="A52" s="191" t="s">
        <v>120</v>
      </c>
      <c r="B52" s="102">
        <f>B30-B41</f>
        <v>29240.260000000002</v>
      </c>
      <c r="C52" s="194">
        <f>C30-C41</f>
        <v>57857</v>
      </c>
      <c r="D52" s="231">
        <f>IF(B52=0, "    ---- ", IF(ABS(ROUND(100/B52*C52-100,1))&lt;999,ROUND(100/B52*C52-100,1),IF(ROUND(100/B52*C52-100,1)&gt;999,999,-999)))</f>
        <v>97.9</v>
      </c>
      <c r="E52" s="180"/>
      <c r="F52" s="194">
        <f>F30-F41</f>
        <v>179395.72733999992</v>
      </c>
      <c r="G52" s="194">
        <f>G30-G41</f>
        <v>98773.111440000095</v>
      </c>
      <c r="H52" s="231">
        <f t="shared" si="2"/>
        <v>-44.9</v>
      </c>
      <c r="I52" s="180"/>
      <c r="J52" s="194">
        <f t="shared" si="0"/>
        <v>208635.98733999993</v>
      </c>
      <c r="K52" s="194">
        <f t="shared" si="0"/>
        <v>156630.1114400001</v>
      </c>
      <c r="L52" s="229">
        <f t="shared" si="3"/>
        <v>-24.9</v>
      </c>
      <c r="M52" s="72"/>
    </row>
    <row r="53" spans="1:15" ht="18.75" x14ac:dyDescent="0.3">
      <c r="A53" s="191" t="s">
        <v>121</v>
      </c>
      <c r="B53" s="102">
        <f t="shared" ref="B53:C56" si="7">B31-B42</f>
        <v>91670.311760000011</v>
      </c>
      <c r="C53" s="194">
        <f t="shared" si="7"/>
        <v>92287.419580000002</v>
      </c>
      <c r="D53" s="231">
        <f t="shared" ref="D53:D60" si="8">IF(B53=0, "    ---- ", IF(ABS(ROUND(100/B53*C53-100,1))&lt;999,ROUND(100/B53*C53-100,1),IF(ROUND(100/B53*C53-100,1)&gt;999,999,-999)))</f>
        <v>0.7</v>
      </c>
      <c r="E53" s="180"/>
      <c r="F53" s="194">
        <f t="shared" ref="F53:G56" si="9">F31-F42</f>
        <v>-59509.22262</v>
      </c>
      <c r="G53" s="194">
        <f t="shared" si="9"/>
        <v>-74318.923149999988</v>
      </c>
      <c r="H53" s="231">
        <f t="shared" si="2"/>
        <v>24.9</v>
      </c>
      <c r="I53" s="180"/>
      <c r="J53" s="194">
        <f t="shared" si="0"/>
        <v>32161.089140000011</v>
      </c>
      <c r="K53" s="194">
        <f t="shared" si="0"/>
        <v>17968.496430000014</v>
      </c>
      <c r="L53" s="229">
        <f t="shared" si="3"/>
        <v>-44.1</v>
      </c>
      <c r="M53" s="72"/>
    </row>
    <row r="54" spans="1:15" ht="18.75" x14ac:dyDescent="0.3">
      <c r="A54" s="191" t="s">
        <v>123</v>
      </c>
      <c r="B54" s="102">
        <f t="shared" si="7"/>
        <v>-21731.416170000099</v>
      </c>
      <c r="C54" s="194">
        <f t="shared" si="7"/>
        <v>88310.464119999902</v>
      </c>
      <c r="D54" s="231">
        <f t="shared" si="8"/>
        <v>-506.4</v>
      </c>
      <c r="E54" s="180"/>
      <c r="F54" s="194">
        <f t="shared" si="9"/>
        <v>-88903.583980000578</v>
      </c>
      <c r="G54" s="194">
        <f t="shared" si="9"/>
        <v>24843.704799999483</v>
      </c>
      <c r="H54" s="231">
        <f t="shared" si="2"/>
        <v>-127.9</v>
      </c>
      <c r="I54" s="180"/>
      <c r="J54" s="194">
        <f t="shared" si="0"/>
        <v>-110635.00015000068</v>
      </c>
      <c r="K54" s="194">
        <f t="shared" si="0"/>
        <v>113154.16891999939</v>
      </c>
      <c r="L54" s="229">
        <f t="shared" si="3"/>
        <v>-202.3</v>
      </c>
      <c r="M54" s="72"/>
    </row>
    <row r="55" spans="1:15" ht="22.5" x14ac:dyDescent="0.3">
      <c r="A55" s="191" t="s">
        <v>373</v>
      </c>
      <c r="B55" s="102">
        <f t="shared" si="7"/>
        <v>1607263.182</v>
      </c>
      <c r="C55" s="194">
        <f t="shared" si="7"/>
        <v>-174995.15699999995</v>
      </c>
      <c r="D55" s="231">
        <f t="shared" si="8"/>
        <v>-110.9</v>
      </c>
      <c r="E55" s="180"/>
      <c r="F55" s="194">
        <f t="shared" si="9"/>
        <v>-300.541</v>
      </c>
      <c r="G55" s="194">
        <f t="shared" si="9"/>
        <v>24988.125</v>
      </c>
      <c r="H55" s="231">
        <f t="shared" si="2"/>
        <v>-999</v>
      </c>
      <c r="I55" s="180"/>
      <c r="J55" s="194">
        <f t="shared" si="0"/>
        <v>1606962.6410000001</v>
      </c>
      <c r="K55" s="194">
        <f t="shared" si="0"/>
        <v>-150007.03199999995</v>
      </c>
      <c r="L55" s="229">
        <f t="shared" si="3"/>
        <v>-109.3</v>
      </c>
      <c r="M55" s="72"/>
    </row>
    <row r="56" spans="1:15" ht="18.75" x14ac:dyDescent="0.3">
      <c r="A56" s="191" t="s">
        <v>126</v>
      </c>
      <c r="B56" s="102">
        <f t="shared" si="7"/>
        <v>-13</v>
      </c>
      <c r="C56" s="194">
        <f t="shared" si="7"/>
        <v>-4</v>
      </c>
      <c r="D56" s="231">
        <f t="shared" si="8"/>
        <v>-69.2</v>
      </c>
      <c r="E56" s="180"/>
      <c r="F56" s="194">
        <f t="shared" si="9"/>
        <v>0</v>
      </c>
      <c r="G56" s="194">
        <f t="shared" si="9"/>
        <v>0</v>
      </c>
      <c r="H56" s="231"/>
      <c r="I56" s="180"/>
      <c r="J56" s="194">
        <f t="shared" si="0"/>
        <v>-13</v>
      </c>
      <c r="K56" s="194">
        <f t="shared" si="0"/>
        <v>-4</v>
      </c>
      <c r="L56" s="229">
        <f t="shared" si="3"/>
        <v>-69.2</v>
      </c>
      <c r="M56" s="72"/>
    </row>
    <row r="57" spans="1:15" s="133" customFormat="1" ht="18.75" x14ac:dyDescent="0.3">
      <c r="A57" s="135" t="s">
        <v>132</v>
      </c>
      <c r="B57" s="108">
        <f>SUM(B52:B56)</f>
        <v>1706429.3375899999</v>
      </c>
      <c r="C57" s="196">
        <f>SUM(C52:C56)</f>
        <v>63455.726699999941</v>
      </c>
      <c r="D57" s="231">
        <f>IF(B57=0, "    ---- ", IF(ABS(ROUND(100/B57*C57-100,1))&lt;999,ROUND(100/B57*C57-100,1),IF(ROUND(100/B57*C57-100,1)&gt;999,999,-999)))</f>
        <v>-96.3</v>
      </c>
      <c r="E57" s="136"/>
      <c r="F57" s="196">
        <f>SUM(F52:F56)</f>
        <v>30682.379739999345</v>
      </c>
      <c r="G57" s="269">
        <f>SUM(G52:G56)</f>
        <v>74286.01808999959</v>
      </c>
      <c r="H57" s="231">
        <f t="shared" si="2"/>
        <v>142.1</v>
      </c>
      <c r="I57" s="136"/>
      <c r="J57" s="196">
        <f t="shared" si="0"/>
        <v>1737111.7173299992</v>
      </c>
      <c r="K57" s="194">
        <f t="shared" si="0"/>
        <v>137741.74478999953</v>
      </c>
      <c r="L57" s="229">
        <f t="shared" si="3"/>
        <v>-92.1</v>
      </c>
      <c r="M57" s="73"/>
      <c r="N57" s="132"/>
      <c r="O57" s="132"/>
    </row>
    <row r="58" spans="1:15" ht="18.75" x14ac:dyDescent="0.3">
      <c r="A58" s="135"/>
      <c r="B58" s="108"/>
      <c r="C58" s="196"/>
      <c r="D58" s="231"/>
      <c r="E58" s="136"/>
      <c r="F58" s="196"/>
      <c r="G58" s="196"/>
      <c r="H58" s="231"/>
      <c r="I58" s="136"/>
      <c r="J58" s="196"/>
      <c r="K58" s="194"/>
      <c r="L58" s="229"/>
      <c r="M58" s="72"/>
    </row>
    <row r="59" spans="1:15" ht="22.5" x14ac:dyDescent="0.3">
      <c r="A59" s="135" t="s">
        <v>380</v>
      </c>
      <c r="B59" s="108"/>
      <c r="C59" s="196"/>
      <c r="D59" s="231"/>
      <c r="E59" s="136"/>
      <c r="F59" s="196"/>
      <c r="G59" s="196"/>
      <c r="H59" s="231"/>
      <c r="I59" s="136"/>
      <c r="J59" s="196"/>
      <c r="K59" s="194"/>
      <c r="L59" s="229"/>
      <c r="M59" s="72"/>
    </row>
    <row r="60" spans="1:15" s="133" customFormat="1" ht="18.75" x14ac:dyDescent="0.3">
      <c r="A60" s="135" t="s">
        <v>122</v>
      </c>
      <c r="B60" s="108">
        <f>B38-B49</f>
        <v>16816.529000000024</v>
      </c>
      <c r="C60" s="196">
        <f>C38-C49</f>
        <v>39618.062999999995</v>
      </c>
      <c r="D60" s="231">
        <f t="shared" si="8"/>
        <v>135.6</v>
      </c>
      <c r="E60" s="136"/>
      <c r="F60" s="196">
        <f>F38-F49</f>
        <v>0</v>
      </c>
      <c r="G60" s="196">
        <f>G38-G49</f>
        <v>0</v>
      </c>
      <c r="H60" s="231"/>
      <c r="I60" s="136"/>
      <c r="J60" s="196">
        <f t="shared" si="0"/>
        <v>16816.529000000024</v>
      </c>
      <c r="K60" s="194">
        <f t="shared" si="0"/>
        <v>39618.062999999995</v>
      </c>
      <c r="L60" s="229">
        <f t="shared" si="3"/>
        <v>135.6</v>
      </c>
      <c r="M60" s="73"/>
    </row>
    <row r="61" spans="1:15" s="133" customFormat="1" ht="18.75" x14ac:dyDescent="0.3">
      <c r="A61" s="193"/>
      <c r="B61" s="113"/>
      <c r="C61" s="197"/>
      <c r="D61" s="202"/>
      <c r="E61" s="136"/>
      <c r="F61" s="197"/>
      <c r="G61" s="197"/>
      <c r="H61" s="202"/>
      <c r="I61" s="136"/>
      <c r="J61" s="202"/>
      <c r="K61" s="202"/>
      <c r="L61" s="202"/>
      <c r="M61" s="73"/>
    </row>
    <row r="62" spans="1:15" ht="18.75" x14ac:dyDescent="0.3">
      <c r="A62" s="110" t="s">
        <v>133</v>
      </c>
      <c r="C62" s="137"/>
      <c r="D62" s="137"/>
      <c r="E62" s="137"/>
      <c r="F62" s="137"/>
      <c r="G62" s="110"/>
      <c r="H62" s="72"/>
      <c r="I62" s="110"/>
      <c r="J62" s="110"/>
      <c r="K62" s="110"/>
      <c r="L62" s="72"/>
      <c r="M62" s="72"/>
    </row>
    <row r="63" spans="1:15" ht="18.75" x14ac:dyDescent="0.3">
      <c r="A63" s="110" t="s">
        <v>134</v>
      </c>
      <c r="C63" s="137"/>
      <c r="D63" s="137"/>
      <c r="E63" s="137"/>
      <c r="F63" s="137"/>
      <c r="G63" s="72"/>
      <c r="H63" s="72"/>
      <c r="I63" s="72"/>
      <c r="J63" s="72"/>
      <c r="K63" s="72"/>
      <c r="L63" s="72"/>
      <c r="M63" s="72"/>
    </row>
    <row r="64" spans="1:15" ht="18.75" x14ac:dyDescent="0.3">
      <c r="A64" s="110" t="s">
        <v>113</v>
      </c>
      <c r="B64" s="72"/>
      <c r="C64" s="72"/>
      <c r="D64" s="72"/>
      <c r="E64" s="72"/>
      <c r="F64" s="72"/>
      <c r="G64" s="72"/>
      <c r="H64" s="72"/>
      <c r="I64" s="72"/>
      <c r="J64" s="72"/>
      <c r="K64" s="72"/>
      <c r="L64" s="72"/>
      <c r="M64" s="72"/>
    </row>
    <row r="65" spans="1:13" ht="18.75" x14ac:dyDescent="0.3">
      <c r="A65" s="72"/>
      <c r="C65" s="72"/>
      <c r="D65" s="72"/>
      <c r="E65" s="72"/>
      <c r="F65" s="72"/>
      <c r="G65" s="72"/>
      <c r="H65" s="72"/>
      <c r="I65" s="72"/>
      <c r="J65" s="72"/>
      <c r="K65" s="72"/>
      <c r="L65" s="72"/>
      <c r="M65" s="72"/>
    </row>
    <row r="66" spans="1:13" ht="18.75" x14ac:dyDescent="0.3">
      <c r="A66" s="72"/>
      <c r="B66" s="72"/>
      <c r="C66" s="72"/>
      <c r="D66" s="72"/>
      <c r="E66" s="72"/>
      <c r="F66" s="72"/>
      <c r="G66" s="72"/>
      <c r="H66" s="72"/>
      <c r="I66" s="72"/>
      <c r="J66" s="72"/>
      <c r="K66" s="72"/>
      <c r="L66" s="72"/>
      <c r="M66" s="72"/>
    </row>
    <row r="67" spans="1:13" ht="18.75" x14ac:dyDescent="0.3">
      <c r="A67" s="72"/>
      <c r="B67" s="72"/>
      <c r="C67" s="72"/>
      <c r="D67" s="72"/>
      <c r="E67" s="72"/>
      <c r="F67" s="72"/>
      <c r="G67" s="72"/>
      <c r="H67" s="72"/>
      <c r="I67" s="72"/>
      <c r="J67" s="72"/>
      <c r="K67" s="72"/>
      <c r="L67" s="72"/>
      <c r="M67" s="72"/>
    </row>
    <row r="68" spans="1:13" ht="18.75" x14ac:dyDescent="0.3">
      <c r="A68" s="72"/>
      <c r="B68" s="72"/>
      <c r="C68" s="72"/>
      <c r="D68" s="72"/>
      <c r="E68" s="72"/>
      <c r="F68" s="72"/>
      <c r="G68" s="72"/>
      <c r="H68" s="72"/>
      <c r="I68" s="72"/>
      <c r="J68" s="72"/>
      <c r="K68" s="72"/>
      <c r="L68" s="72"/>
      <c r="M68" s="72"/>
    </row>
    <row r="69" spans="1:13" ht="18.75" x14ac:dyDescent="0.3">
      <c r="A69" s="72"/>
      <c r="B69" s="72"/>
      <c r="C69" s="72"/>
      <c r="D69" s="72"/>
      <c r="E69" s="72"/>
      <c r="F69" s="72"/>
      <c r="G69" s="72"/>
      <c r="H69" s="72"/>
      <c r="I69" s="72"/>
      <c r="J69" s="72"/>
      <c r="K69" s="72"/>
      <c r="L69" s="72"/>
      <c r="M69" s="72"/>
    </row>
    <row r="70" spans="1:13" ht="18.75" x14ac:dyDescent="0.3">
      <c r="A70" s="72"/>
      <c r="B70" s="72"/>
      <c r="C70" s="72"/>
      <c r="D70" s="72"/>
      <c r="E70" s="72"/>
      <c r="F70" s="72"/>
      <c r="G70" s="72"/>
      <c r="H70" s="72"/>
      <c r="I70" s="72"/>
      <c r="J70" s="72"/>
      <c r="K70" s="72"/>
      <c r="L70" s="72"/>
      <c r="M70" s="72"/>
    </row>
    <row r="71" spans="1:13" ht="18.75" x14ac:dyDescent="0.3">
      <c r="A71" s="72"/>
      <c r="B71" s="72"/>
      <c r="C71" s="72"/>
      <c r="D71" s="72"/>
      <c r="E71" s="72"/>
      <c r="F71" s="72"/>
      <c r="G71" s="72"/>
      <c r="H71" s="72"/>
      <c r="I71" s="72"/>
      <c r="J71" s="72"/>
      <c r="K71" s="72"/>
      <c r="L71" s="72"/>
      <c r="M71" s="72"/>
    </row>
    <row r="72" spans="1:13" ht="18.75" x14ac:dyDescent="0.3">
      <c r="A72" s="72"/>
      <c r="B72" s="72"/>
      <c r="C72" s="72"/>
      <c r="D72" s="72"/>
      <c r="E72" s="72"/>
      <c r="F72" s="72"/>
      <c r="G72" s="72"/>
      <c r="H72" s="72"/>
      <c r="I72" s="72"/>
      <c r="J72" s="72"/>
      <c r="K72" s="72"/>
      <c r="L72" s="72"/>
      <c r="M72" s="72"/>
    </row>
    <row r="73" spans="1:13" ht="18.75" x14ac:dyDescent="0.3">
      <c r="A73" s="72"/>
      <c r="B73" s="72"/>
      <c r="C73" s="72"/>
      <c r="D73" s="72"/>
      <c r="E73" s="72"/>
      <c r="F73" s="72"/>
      <c r="G73" s="72"/>
      <c r="H73" s="72"/>
      <c r="I73" s="72"/>
      <c r="J73" s="72"/>
      <c r="K73" s="72"/>
      <c r="L73" s="72"/>
      <c r="M73" s="72"/>
    </row>
    <row r="74" spans="1:13" ht="18.75" x14ac:dyDescent="0.3">
      <c r="A74" s="72"/>
      <c r="B74" s="72"/>
      <c r="C74" s="72"/>
      <c r="D74" s="72"/>
      <c r="E74" s="72"/>
      <c r="F74" s="72"/>
      <c r="G74" s="72"/>
      <c r="H74" s="72"/>
      <c r="I74" s="72"/>
      <c r="J74" s="72"/>
      <c r="K74" s="72"/>
      <c r="L74" s="72"/>
      <c r="M74" s="72"/>
    </row>
    <row r="75" spans="1:13" ht="18.75" x14ac:dyDescent="0.3">
      <c r="A75" s="72"/>
      <c r="B75" s="72"/>
      <c r="C75" s="72"/>
      <c r="D75" s="72"/>
      <c r="E75" s="72"/>
      <c r="F75" s="72"/>
      <c r="G75" s="72"/>
      <c r="H75" s="72"/>
      <c r="I75" s="72"/>
      <c r="J75" s="72"/>
      <c r="K75" s="72"/>
      <c r="L75" s="72"/>
      <c r="M75" s="72"/>
    </row>
    <row r="76" spans="1:13" ht="18.75" x14ac:dyDescent="0.3">
      <c r="A76" s="72"/>
      <c r="B76" s="72"/>
      <c r="C76" s="72"/>
      <c r="D76" s="72"/>
      <c r="E76" s="72"/>
      <c r="F76" s="72"/>
      <c r="G76" s="72"/>
      <c r="H76" s="72"/>
      <c r="I76" s="72"/>
      <c r="J76" s="72"/>
      <c r="K76" s="72"/>
      <c r="L76" s="72"/>
      <c r="M76" s="72"/>
    </row>
    <row r="77" spans="1:13" ht="18.75" x14ac:dyDescent="0.3">
      <c r="A77" s="72"/>
      <c r="B77" s="72"/>
      <c r="C77" s="72"/>
      <c r="D77" s="72"/>
      <c r="E77" s="72"/>
      <c r="F77" s="72"/>
      <c r="G77" s="72"/>
      <c r="H77" s="72"/>
      <c r="I77" s="72"/>
      <c r="J77" s="72"/>
      <c r="K77" s="72"/>
      <c r="L77" s="72"/>
      <c r="M77" s="72"/>
    </row>
    <row r="78" spans="1:13" ht="18.75" x14ac:dyDescent="0.3">
      <c r="A78" s="72"/>
      <c r="B78" s="72"/>
      <c r="C78" s="72"/>
      <c r="D78" s="72"/>
      <c r="E78" s="72"/>
      <c r="F78" s="72"/>
      <c r="G78" s="72"/>
      <c r="H78" s="72"/>
      <c r="I78" s="72"/>
      <c r="J78" s="72"/>
      <c r="K78" s="72"/>
      <c r="L78" s="72"/>
      <c r="M78" s="72"/>
    </row>
    <row r="79" spans="1:13" ht="18.75" x14ac:dyDescent="0.3">
      <c r="A79" s="72"/>
      <c r="B79" s="72"/>
      <c r="C79" s="72"/>
      <c r="D79" s="72"/>
      <c r="E79" s="72"/>
      <c r="F79" s="72"/>
      <c r="G79" s="72"/>
      <c r="H79" s="72"/>
      <c r="I79" s="72"/>
      <c r="J79" s="72"/>
      <c r="K79" s="72"/>
      <c r="L79" s="72"/>
      <c r="M79" s="72"/>
    </row>
    <row r="80" spans="1:13" ht="18.75" x14ac:dyDescent="0.3">
      <c r="A80" s="72"/>
      <c r="B80" s="72"/>
      <c r="C80" s="72"/>
      <c r="D80" s="72"/>
      <c r="E80" s="72"/>
      <c r="F80" s="72"/>
      <c r="G80" s="72"/>
      <c r="H80" s="72"/>
      <c r="I80" s="72"/>
      <c r="J80" s="72"/>
      <c r="K80" s="72"/>
      <c r="L80" s="72"/>
      <c r="M80" s="72"/>
    </row>
    <row r="81" spans="1:13" ht="18.75" x14ac:dyDescent="0.3">
      <c r="A81" s="72"/>
      <c r="B81" s="72"/>
      <c r="C81" s="72"/>
      <c r="D81" s="72"/>
      <c r="E81" s="72"/>
      <c r="F81" s="72"/>
      <c r="G81" s="72"/>
      <c r="H81" s="72"/>
      <c r="I81" s="72"/>
      <c r="J81" s="72"/>
      <c r="K81" s="72"/>
      <c r="L81" s="72"/>
      <c r="M81" s="72"/>
    </row>
    <row r="82" spans="1:13" ht="18.75" x14ac:dyDescent="0.3">
      <c r="A82" s="72"/>
      <c r="B82" s="72"/>
      <c r="C82" s="72"/>
      <c r="D82" s="72"/>
      <c r="E82" s="72"/>
      <c r="F82" s="72"/>
      <c r="G82" s="72"/>
      <c r="H82" s="72"/>
      <c r="I82" s="72"/>
      <c r="J82" s="72"/>
      <c r="K82" s="72"/>
      <c r="L82" s="72"/>
      <c r="M82" s="72"/>
    </row>
    <row r="83" spans="1:13" ht="18.75" x14ac:dyDescent="0.3">
      <c r="A83" s="72"/>
      <c r="B83" s="72"/>
      <c r="C83" s="72"/>
      <c r="D83" s="72"/>
      <c r="E83" s="72"/>
      <c r="F83" s="72"/>
      <c r="G83" s="72"/>
      <c r="H83" s="72"/>
      <c r="I83" s="72"/>
      <c r="J83" s="72"/>
      <c r="K83" s="72"/>
      <c r="L83" s="72"/>
      <c r="M83" s="72"/>
    </row>
    <row r="84" spans="1:13" ht="18.75" x14ac:dyDescent="0.3">
      <c r="A84" s="72"/>
      <c r="B84" s="72"/>
      <c r="C84" s="72"/>
      <c r="D84" s="72"/>
      <c r="E84" s="72"/>
      <c r="F84" s="72"/>
      <c r="G84" s="72"/>
      <c r="H84" s="72"/>
      <c r="I84" s="72"/>
      <c r="J84" s="72"/>
      <c r="K84" s="72"/>
      <c r="L84" s="72"/>
      <c r="M84" s="72"/>
    </row>
    <row r="85" spans="1:13" ht="18.75" x14ac:dyDescent="0.3">
      <c r="A85" s="72"/>
      <c r="B85" s="72"/>
      <c r="C85" s="72"/>
      <c r="D85" s="72"/>
      <c r="E85" s="72"/>
      <c r="F85" s="72"/>
      <c r="G85" s="72"/>
      <c r="H85" s="72"/>
      <c r="I85" s="72"/>
      <c r="J85" s="72"/>
      <c r="K85" s="72"/>
      <c r="L85" s="72"/>
      <c r="M85" s="72"/>
    </row>
    <row r="86" spans="1:13" ht="18.75" x14ac:dyDescent="0.3">
      <c r="A86" s="72"/>
      <c r="B86" s="72"/>
      <c r="C86" s="72"/>
      <c r="D86" s="72"/>
      <c r="E86" s="72"/>
      <c r="F86" s="72"/>
      <c r="G86" s="72"/>
      <c r="H86" s="72"/>
      <c r="I86" s="72"/>
      <c r="J86" s="72"/>
      <c r="K86" s="72"/>
      <c r="L86" s="72"/>
      <c r="M86" s="72"/>
    </row>
    <row r="87" spans="1:13" ht="18.75" x14ac:dyDescent="0.3">
      <c r="A87" s="72"/>
      <c r="B87" s="72"/>
      <c r="C87" s="72"/>
      <c r="D87" s="72"/>
      <c r="E87" s="72"/>
      <c r="F87" s="72"/>
      <c r="G87" s="72"/>
      <c r="H87" s="72"/>
      <c r="I87" s="72"/>
      <c r="J87" s="72"/>
      <c r="K87" s="72"/>
      <c r="L87" s="72"/>
      <c r="M87" s="72"/>
    </row>
    <row r="88" spans="1:13" ht="18.75" x14ac:dyDescent="0.3">
      <c r="A88" s="72"/>
      <c r="B88" s="72"/>
      <c r="C88" s="72"/>
      <c r="D88" s="72"/>
      <c r="E88" s="72"/>
      <c r="F88" s="72"/>
      <c r="G88" s="72"/>
      <c r="H88" s="72"/>
      <c r="I88" s="72"/>
      <c r="J88" s="72"/>
      <c r="K88" s="72"/>
      <c r="L88" s="72"/>
      <c r="M88" s="72"/>
    </row>
    <row r="89" spans="1:13" ht="18.75" x14ac:dyDescent="0.3">
      <c r="A89" s="72"/>
      <c r="B89" s="72"/>
      <c r="C89" s="72"/>
      <c r="D89" s="72"/>
      <c r="E89" s="72"/>
      <c r="F89" s="72"/>
      <c r="G89" s="72"/>
      <c r="H89" s="72"/>
      <c r="I89" s="72"/>
      <c r="J89" s="72"/>
      <c r="K89" s="72"/>
      <c r="L89" s="72"/>
      <c r="M89" s="72"/>
    </row>
    <row r="90" spans="1:13" ht="18.75" x14ac:dyDescent="0.3">
      <c r="A90" s="72"/>
      <c r="B90" s="72"/>
      <c r="C90" s="72"/>
      <c r="D90" s="72"/>
      <c r="E90" s="72"/>
      <c r="F90" s="72"/>
      <c r="G90" s="72"/>
      <c r="H90" s="72"/>
      <c r="I90" s="72"/>
      <c r="J90" s="72"/>
      <c r="K90" s="72"/>
      <c r="L90" s="72"/>
      <c r="M90" s="72"/>
    </row>
    <row r="91" spans="1:13" ht="18.75" x14ac:dyDescent="0.3">
      <c r="A91" s="72"/>
      <c r="B91" s="72"/>
      <c r="C91" s="72"/>
      <c r="D91" s="72"/>
      <c r="E91" s="72"/>
      <c r="F91" s="72"/>
      <c r="G91" s="72"/>
      <c r="H91" s="72"/>
      <c r="I91" s="72"/>
      <c r="J91" s="72"/>
      <c r="K91" s="72"/>
      <c r="L91" s="72"/>
      <c r="M91" s="72"/>
    </row>
    <row r="92" spans="1:13" ht="18.75" x14ac:dyDescent="0.3">
      <c r="A92" s="72"/>
      <c r="B92" s="72"/>
      <c r="C92" s="72"/>
      <c r="D92" s="72"/>
      <c r="E92" s="72"/>
      <c r="F92" s="72"/>
      <c r="G92" s="72"/>
      <c r="H92" s="72"/>
      <c r="I92" s="72"/>
      <c r="J92" s="72"/>
      <c r="K92" s="72"/>
      <c r="L92" s="72"/>
      <c r="M92" s="72"/>
    </row>
    <row r="93" spans="1:13" ht="18.75" x14ac:dyDescent="0.3">
      <c r="A93" s="72"/>
      <c r="B93" s="72"/>
      <c r="C93" s="72"/>
      <c r="D93" s="72"/>
      <c r="E93" s="72"/>
      <c r="F93" s="72"/>
      <c r="G93" s="72"/>
      <c r="H93" s="72"/>
      <c r="I93" s="72"/>
      <c r="J93" s="72"/>
      <c r="K93" s="72"/>
      <c r="L93" s="72"/>
      <c r="M93" s="72"/>
    </row>
    <row r="94" spans="1:13" ht="18.75" x14ac:dyDescent="0.3">
      <c r="A94" s="72"/>
      <c r="B94" s="72"/>
      <c r="C94" s="72"/>
      <c r="D94" s="72"/>
      <c r="E94" s="72"/>
      <c r="F94" s="72"/>
      <c r="G94" s="72"/>
      <c r="H94" s="72"/>
      <c r="I94" s="72"/>
      <c r="J94" s="72"/>
      <c r="K94" s="72"/>
      <c r="L94" s="72"/>
      <c r="M94" s="72"/>
    </row>
    <row r="95" spans="1:13" ht="18.75" x14ac:dyDescent="0.3">
      <c r="A95" s="72"/>
      <c r="B95" s="72"/>
      <c r="C95" s="72"/>
      <c r="D95" s="72"/>
      <c r="E95" s="72"/>
      <c r="F95" s="72"/>
      <c r="G95" s="72"/>
      <c r="H95" s="72"/>
      <c r="I95" s="72"/>
      <c r="J95" s="72"/>
      <c r="K95" s="72"/>
      <c r="L95" s="72"/>
      <c r="M95" s="72"/>
    </row>
    <row r="96" spans="1:13" ht="18.75" x14ac:dyDescent="0.3">
      <c r="A96" s="72"/>
      <c r="B96" s="72"/>
      <c r="C96" s="72"/>
      <c r="D96" s="72"/>
      <c r="E96" s="72"/>
      <c r="F96" s="72"/>
      <c r="G96" s="72"/>
      <c r="H96" s="72"/>
      <c r="I96" s="72"/>
      <c r="J96" s="72"/>
      <c r="K96" s="72"/>
      <c r="L96" s="72"/>
      <c r="M96" s="72"/>
    </row>
    <row r="97" spans="1:13" ht="18.75" x14ac:dyDescent="0.3">
      <c r="A97" s="72"/>
      <c r="B97" s="72"/>
      <c r="C97" s="72"/>
      <c r="D97" s="72"/>
      <c r="E97" s="72"/>
      <c r="F97" s="72"/>
      <c r="G97" s="72"/>
      <c r="H97" s="72"/>
      <c r="I97" s="72"/>
      <c r="J97" s="72"/>
      <c r="K97" s="72"/>
      <c r="L97" s="72"/>
      <c r="M97" s="72"/>
    </row>
    <row r="98" spans="1:13" ht="18.75" x14ac:dyDescent="0.3">
      <c r="A98" s="72"/>
      <c r="B98" s="72"/>
      <c r="C98" s="72"/>
      <c r="D98" s="72"/>
      <c r="E98" s="72"/>
      <c r="F98" s="72"/>
      <c r="G98" s="72"/>
      <c r="H98" s="72"/>
      <c r="I98" s="72"/>
      <c r="J98" s="72"/>
      <c r="K98" s="72"/>
      <c r="L98" s="72"/>
      <c r="M98" s="72"/>
    </row>
    <row r="99" spans="1:13" ht="18.75" x14ac:dyDescent="0.3">
      <c r="A99" s="72"/>
      <c r="B99" s="72"/>
      <c r="C99" s="72"/>
      <c r="D99" s="72"/>
      <c r="E99" s="72"/>
      <c r="F99" s="72"/>
      <c r="G99" s="72"/>
      <c r="H99" s="72"/>
      <c r="I99" s="72"/>
      <c r="J99" s="72"/>
      <c r="K99" s="72"/>
      <c r="L99" s="72"/>
      <c r="M99" s="72"/>
    </row>
    <row r="100" spans="1:13" ht="18.75" x14ac:dyDescent="0.3">
      <c r="A100" s="72"/>
      <c r="B100" s="72"/>
      <c r="C100" s="72"/>
      <c r="D100" s="72"/>
      <c r="E100" s="72"/>
      <c r="F100" s="72"/>
      <c r="G100" s="72"/>
      <c r="H100" s="72"/>
      <c r="I100" s="72"/>
      <c r="J100" s="72"/>
      <c r="K100" s="72"/>
      <c r="L100" s="72"/>
      <c r="M100" s="72"/>
    </row>
    <row r="101" spans="1:13" ht="18.75" x14ac:dyDescent="0.3">
      <c r="A101" s="72"/>
      <c r="B101" s="72"/>
      <c r="C101" s="72"/>
      <c r="D101" s="72"/>
      <c r="E101" s="72"/>
      <c r="F101" s="72"/>
      <c r="G101" s="72"/>
      <c r="H101" s="72"/>
      <c r="I101" s="72"/>
      <c r="J101" s="72"/>
      <c r="K101" s="72"/>
      <c r="L101" s="72"/>
      <c r="M101" s="72"/>
    </row>
    <row r="102" spans="1:13" ht="18.75" x14ac:dyDescent="0.3">
      <c r="A102" s="72"/>
      <c r="B102" s="72"/>
      <c r="C102" s="72"/>
      <c r="D102" s="72"/>
      <c r="E102" s="72"/>
      <c r="F102" s="72"/>
      <c r="G102" s="72"/>
      <c r="H102" s="72"/>
      <c r="I102" s="72"/>
      <c r="J102" s="72"/>
      <c r="K102" s="72"/>
      <c r="L102" s="72"/>
      <c r="M102" s="72"/>
    </row>
    <row r="103" spans="1:13" ht="18.75" x14ac:dyDescent="0.3">
      <c r="A103" s="72"/>
      <c r="B103" s="72"/>
      <c r="C103" s="72"/>
      <c r="D103" s="72"/>
      <c r="E103" s="72"/>
      <c r="F103" s="72"/>
      <c r="G103" s="72"/>
      <c r="H103" s="72"/>
      <c r="I103" s="72"/>
      <c r="J103" s="72"/>
      <c r="K103" s="72"/>
      <c r="L103" s="72"/>
      <c r="M103" s="72"/>
    </row>
    <row r="104" spans="1:13" ht="18.75" x14ac:dyDescent="0.3">
      <c r="A104" s="72"/>
      <c r="B104" s="72"/>
      <c r="C104" s="72"/>
      <c r="D104" s="72"/>
      <c r="E104" s="72"/>
      <c r="F104" s="72"/>
      <c r="G104" s="72"/>
      <c r="H104" s="72"/>
      <c r="I104" s="72"/>
      <c r="J104" s="72"/>
      <c r="K104" s="72"/>
      <c r="L104" s="72"/>
      <c r="M104" s="72"/>
    </row>
    <row r="105" spans="1:13" ht="18.75" x14ac:dyDescent="0.3">
      <c r="A105" s="72"/>
      <c r="B105" s="72"/>
      <c r="C105" s="72"/>
      <c r="D105" s="72"/>
      <c r="E105" s="72"/>
      <c r="F105" s="72"/>
      <c r="G105" s="72"/>
      <c r="H105" s="72"/>
      <c r="I105" s="72"/>
      <c r="J105" s="72"/>
      <c r="K105" s="72"/>
      <c r="L105" s="72"/>
      <c r="M105" s="72"/>
    </row>
    <row r="106" spans="1:13" ht="18.75" x14ac:dyDescent="0.3">
      <c r="A106" s="72"/>
      <c r="B106" s="72"/>
      <c r="C106" s="72"/>
      <c r="D106" s="72"/>
      <c r="E106" s="72"/>
      <c r="F106" s="72"/>
      <c r="G106" s="72"/>
      <c r="H106" s="72"/>
      <c r="I106" s="72"/>
      <c r="J106" s="72"/>
      <c r="K106" s="72"/>
      <c r="L106" s="72"/>
      <c r="M106" s="72"/>
    </row>
    <row r="107" spans="1:13" ht="18.75" x14ac:dyDescent="0.3">
      <c r="A107" s="72"/>
      <c r="B107" s="72"/>
      <c r="C107" s="72"/>
      <c r="D107" s="72"/>
      <c r="E107" s="72"/>
      <c r="F107" s="72"/>
      <c r="G107" s="72"/>
      <c r="H107" s="72"/>
      <c r="I107" s="72"/>
      <c r="J107" s="72"/>
      <c r="K107" s="72"/>
      <c r="L107" s="72"/>
      <c r="M107" s="72"/>
    </row>
    <row r="108" spans="1:13" ht="18.75" x14ac:dyDescent="0.3">
      <c r="A108" s="72"/>
      <c r="B108" s="72"/>
      <c r="C108" s="72"/>
      <c r="D108" s="72"/>
      <c r="E108" s="72"/>
      <c r="F108" s="72"/>
      <c r="G108" s="72"/>
      <c r="H108" s="72"/>
      <c r="I108" s="72"/>
      <c r="J108" s="72"/>
      <c r="K108" s="72"/>
      <c r="L108" s="72"/>
      <c r="M108" s="72"/>
    </row>
    <row r="109" spans="1:13" ht="18.75" x14ac:dyDescent="0.3">
      <c r="A109" s="72"/>
      <c r="B109" s="72"/>
      <c r="C109" s="72"/>
      <c r="D109" s="72"/>
      <c r="E109" s="72"/>
      <c r="F109" s="72"/>
      <c r="G109" s="72"/>
      <c r="H109" s="72"/>
      <c r="I109" s="72"/>
      <c r="J109" s="72"/>
      <c r="K109" s="72"/>
      <c r="L109" s="72"/>
      <c r="M109" s="72"/>
    </row>
    <row r="110" spans="1:13" ht="18.75" x14ac:dyDescent="0.3">
      <c r="A110" s="72"/>
      <c r="B110" s="72"/>
      <c r="C110" s="72"/>
      <c r="D110" s="72"/>
      <c r="E110" s="72"/>
      <c r="F110" s="72"/>
      <c r="G110" s="72"/>
      <c r="H110" s="72"/>
      <c r="I110" s="72"/>
      <c r="J110" s="72"/>
      <c r="K110" s="72"/>
      <c r="L110" s="72"/>
      <c r="M110" s="72"/>
    </row>
    <row r="111" spans="1:13" ht="18.75" x14ac:dyDescent="0.3">
      <c r="A111" s="72"/>
      <c r="B111" s="72"/>
      <c r="C111" s="72"/>
      <c r="D111" s="72"/>
      <c r="E111" s="72"/>
      <c r="F111" s="72"/>
      <c r="G111" s="72"/>
      <c r="H111" s="72"/>
      <c r="I111" s="72"/>
      <c r="J111" s="72"/>
      <c r="K111" s="72"/>
      <c r="L111" s="72"/>
      <c r="M111" s="72"/>
    </row>
    <row r="112" spans="1:13" ht="18.75" x14ac:dyDescent="0.3">
      <c r="A112" s="72"/>
      <c r="B112" s="72"/>
      <c r="C112" s="72"/>
      <c r="D112" s="72"/>
      <c r="E112" s="72"/>
      <c r="F112" s="72"/>
      <c r="G112" s="72"/>
      <c r="H112" s="72"/>
      <c r="I112" s="72"/>
      <c r="J112" s="72"/>
      <c r="K112" s="72"/>
      <c r="L112" s="72"/>
      <c r="M112" s="72"/>
    </row>
    <row r="113" spans="1:13" ht="18.75" x14ac:dyDescent="0.3">
      <c r="A113" s="72"/>
      <c r="B113" s="72"/>
      <c r="C113" s="72"/>
      <c r="D113" s="72"/>
      <c r="E113" s="72"/>
      <c r="F113" s="72"/>
      <c r="G113" s="72"/>
      <c r="H113" s="72"/>
      <c r="I113" s="72"/>
      <c r="J113" s="72"/>
      <c r="K113" s="72"/>
      <c r="L113" s="72"/>
      <c r="M113" s="72"/>
    </row>
    <row r="114" spans="1:13" ht="18.75" x14ac:dyDescent="0.3">
      <c r="A114" s="72"/>
      <c r="B114" s="72"/>
      <c r="C114" s="72"/>
      <c r="D114" s="72"/>
      <c r="E114" s="72"/>
      <c r="F114" s="72"/>
      <c r="G114" s="72"/>
      <c r="H114" s="72"/>
      <c r="I114" s="72"/>
      <c r="J114" s="72"/>
      <c r="K114" s="72"/>
      <c r="L114" s="72"/>
      <c r="M114" s="72"/>
    </row>
    <row r="115" spans="1:13" ht="18.75" x14ac:dyDescent="0.3">
      <c r="A115" s="72"/>
      <c r="B115" s="72"/>
      <c r="C115" s="72"/>
      <c r="D115" s="72"/>
      <c r="E115" s="72"/>
      <c r="F115" s="72"/>
      <c r="G115" s="72"/>
      <c r="H115" s="72"/>
      <c r="I115" s="72"/>
      <c r="J115" s="72"/>
      <c r="K115" s="72"/>
      <c r="L115" s="72"/>
      <c r="M115" s="72"/>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35.85546875" style="79" customWidth="1"/>
    <col min="2" max="2" width="18.140625" style="79" customWidth="1"/>
    <col min="3" max="3" width="17.85546875" style="79" customWidth="1"/>
    <col min="4" max="4" width="11.7109375" style="79" customWidth="1"/>
    <col min="5" max="5" width="4.7109375" style="79" customWidth="1"/>
    <col min="6" max="7" width="13" style="79" customWidth="1"/>
    <col min="8" max="8" width="11.7109375" style="79" customWidth="1"/>
    <col min="9" max="9" width="12.42578125" style="79" customWidth="1"/>
    <col min="10" max="10" width="11.42578125" style="79"/>
    <col min="11" max="12" width="17.140625" style="79" bestFit="1" customWidth="1"/>
    <col min="13" max="16384" width="11.42578125" style="79"/>
  </cols>
  <sheetData>
    <row r="1" spans="1:10" ht="18.75" customHeight="1" x14ac:dyDescent="0.3">
      <c r="A1" s="78" t="s">
        <v>82</v>
      </c>
      <c r="B1" s="71" t="s">
        <v>53</v>
      </c>
      <c r="C1" s="78"/>
      <c r="D1" s="78"/>
      <c r="E1" s="78"/>
      <c r="F1" s="72"/>
      <c r="G1" s="72"/>
      <c r="H1" s="72"/>
      <c r="I1" s="72"/>
      <c r="J1" s="72"/>
    </row>
    <row r="2" spans="1:10" ht="20.100000000000001" customHeight="1" x14ac:dyDescent="0.3">
      <c r="A2" s="78" t="s">
        <v>173</v>
      </c>
      <c r="B2" s="78"/>
      <c r="C2" s="78"/>
      <c r="D2" s="78"/>
      <c r="E2" s="78"/>
      <c r="F2" s="72"/>
      <c r="G2" s="72"/>
      <c r="H2" s="72"/>
      <c r="I2" s="72"/>
      <c r="J2" s="72"/>
    </row>
    <row r="3" spans="1:10" ht="20.100000000000001" customHeight="1" x14ac:dyDescent="0.3">
      <c r="A3" s="73"/>
      <c r="B3" s="73"/>
      <c r="C3" s="73"/>
      <c r="D3" s="73"/>
      <c r="E3" s="255"/>
      <c r="F3" s="72"/>
      <c r="G3" s="72"/>
      <c r="H3" s="72"/>
      <c r="I3" s="72"/>
      <c r="J3" s="72"/>
    </row>
    <row r="4" spans="1:10" ht="20.100000000000001" customHeight="1" x14ac:dyDescent="0.3">
      <c r="A4" s="667"/>
      <c r="B4" s="676" t="s">
        <v>174</v>
      </c>
      <c r="C4" s="676"/>
      <c r="D4" s="677"/>
      <c r="E4" s="87"/>
      <c r="F4" s="678" t="s">
        <v>174</v>
      </c>
      <c r="G4" s="676"/>
      <c r="H4" s="677"/>
      <c r="I4" s="72"/>
      <c r="J4" s="72"/>
    </row>
    <row r="5" spans="1:10" ht="18.75" customHeight="1" x14ac:dyDescent="0.3">
      <c r="A5" s="666" t="s">
        <v>389</v>
      </c>
      <c r="B5" s="679" t="s">
        <v>175</v>
      </c>
      <c r="C5" s="680"/>
      <c r="D5" s="681"/>
      <c r="E5" s="256"/>
      <c r="F5" s="682" t="s">
        <v>176</v>
      </c>
      <c r="G5" s="683"/>
      <c r="H5" s="684"/>
      <c r="I5" s="110"/>
      <c r="J5" s="72"/>
    </row>
    <row r="6" spans="1:10" ht="18.75" customHeight="1" x14ac:dyDescent="0.3">
      <c r="A6" s="120"/>
      <c r="B6" s="118"/>
      <c r="C6" s="190"/>
      <c r="D6" s="257" t="s">
        <v>87</v>
      </c>
      <c r="E6" s="257"/>
      <c r="F6" s="121"/>
      <c r="G6" s="122"/>
      <c r="H6" s="92" t="s">
        <v>87</v>
      </c>
      <c r="I6" s="98"/>
      <c r="J6" s="72"/>
    </row>
    <row r="7" spans="1:10" ht="18.75" customHeight="1" x14ac:dyDescent="0.3">
      <c r="A7" s="124"/>
      <c r="B7" s="95">
        <v>2016</v>
      </c>
      <c r="C7" s="95">
        <v>2017</v>
      </c>
      <c r="D7" s="258" t="s">
        <v>89</v>
      </c>
      <c r="E7" s="257"/>
      <c r="F7" s="95">
        <v>2016</v>
      </c>
      <c r="G7" s="125">
        <v>2017</v>
      </c>
      <c r="H7" s="259" t="s">
        <v>89</v>
      </c>
      <c r="I7" s="98"/>
      <c r="J7" s="72"/>
    </row>
    <row r="8" spans="1:10" ht="18.75" customHeight="1" x14ac:dyDescent="0.3">
      <c r="A8" s="99" t="s">
        <v>177</v>
      </c>
      <c r="B8" s="107">
        <f>SUM(B9:B14)</f>
        <v>133777.83518920001</v>
      </c>
      <c r="C8" s="107">
        <f>SUM(C9:C14)</f>
        <v>138784.89128514999</v>
      </c>
      <c r="D8" s="260">
        <f t="shared" ref="D8:D38" si="0">IF(B8=0, "    ---- ", IF(ABS(ROUND(100/B8*C8-100,1))&lt;999,ROUND(100/B8*C8-100,1),IF(ROUND(100/B8*C8-100,1)&gt;999,999,-999)))</f>
        <v>3.7</v>
      </c>
      <c r="E8" s="261"/>
      <c r="F8" s="260">
        <f>SUM(F9:F14)</f>
        <v>99.999970099689563</v>
      </c>
      <c r="G8" s="260">
        <f>SUM(G9:G14)</f>
        <v>100.00000000000001</v>
      </c>
      <c r="H8" s="261">
        <f t="shared" ref="H8:H38" si="1">IF(F8=0, "    ---- ", IF(ABS(ROUND(100/F8*G8-100,1))&lt;999,ROUND(100/F8*G8-100,1),IF(ROUND(100/F8*G8-100,1)&gt;999,999,-999)))</f>
        <v>0</v>
      </c>
      <c r="I8" s="102"/>
      <c r="J8" s="72"/>
    </row>
    <row r="9" spans="1:10" ht="18.75" customHeight="1" x14ac:dyDescent="0.3">
      <c r="A9" s="84" t="s">
        <v>178</v>
      </c>
      <c r="B9" s="104">
        <f>'Tabell 6'!AR21</f>
        <v>2793.1950999000005</v>
      </c>
      <c r="C9" s="104">
        <f>'Tabell 6'!AS21</f>
        <v>3378.2847999999999</v>
      </c>
      <c r="D9" s="262">
        <f t="shared" si="0"/>
        <v>20.9</v>
      </c>
      <c r="E9" s="262"/>
      <c r="F9" s="262">
        <f>'Tabell 6'!AR21/'Tabell 6'!AR29*100</f>
        <v>2.0879350161225299</v>
      </c>
      <c r="G9" s="262">
        <f>'Tabell 6'!AS21/'Tabell 6'!AS29*100</f>
        <v>2.4341877337778173</v>
      </c>
      <c r="H9" s="263">
        <f t="shared" si="1"/>
        <v>16.600000000000001</v>
      </c>
      <c r="I9" s="102"/>
      <c r="J9" s="75"/>
    </row>
    <row r="10" spans="1:10" ht="18.75" customHeight="1" x14ac:dyDescent="0.3">
      <c r="A10" s="84" t="s">
        <v>179</v>
      </c>
      <c r="B10" s="103">
        <f>'Tabell 6'!AR18+'Tabell 6'!AR22</f>
        <v>68366.475091510001</v>
      </c>
      <c r="C10" s="103">
        <f>'Tabell 6'!AS18+'Tabell 6'!AS22</f>
        <v>73594.186372960001</v>
      </c>
      <c r="D10" s="262">
        <f t="shared" si="0"/>
        <v>7.6</v>
      </c>
      <c r="E10" s="262"/>
      <c r="F10" s="262">
        <f>('Tabell 6'!AR18+'Tabell 6'!AR22)/'Tabell 6'!AR29*100</f>
        <v>51.104470746616627</v>
      </c>
      <c r="G10" s="262">
        <f>('Tabell 6'!AS18+'Tabell 6'!AS22)/'Tabell 6'!AS29*100</f>
        <v>53.027520280829442</v>
      </c>
      <c r="H10" s="263">
        <f t="shared" si="1"/>
        <v>3.8</v>
      </c>
      <c r="I10" s="102"/>
      <c r="J10" s="72"/>
    </row>
    <row r="11" spans="1:10" ht="18.75" customHeight="1" x14ac:dyDescent="0.3">
      <c r="A11" s="84" t="s">
        <v>180</v>
      </c>
      <c r="B11" s="103">
        <f>'Tabell 6'!AR14</f>
        <v>992.89591974999996</v>
      </c>
      <c r="C11" s="103">
        <f>'Tabell 6'!AS14</f>
        <v>994.21025874999998</v>
      </c>
      <c r="D11" s="262">
        <f t="shared" si="0"/>
        <v>0.1</v>
      </c>
      <c r="E11" s="262"/>
      <c r="F11" s="262">
        <f>'Tabell 6'!AR14/'Tabell 6'!AR29*100</f>
        <v>0.7421974062196478</v>
      </c>
      <c r="G11" s="262">
        <f>'Tabell 6'!AS14/'Tabell 6'!AS29*100</f>
        <v>0.71636779014170737</v>
      </c>
      <c r="H11" s="263">
        <f t="shared" si="1"/>
        <v>-3.5</v>
      </c>
      <c r="I11" s="102"/>
      <c r="J11" s="72"/>
    </row>
    <row r="12" spans="1:10" ht="18.75" customHeight="1" x14ac:dyDescent="0.3">
      <c r="A12" s="106" t="s">
        <v>181</v>
      </c>
      <c r="B12" s="103">
        <f>'Tabell 6'!AR15</f>
        <v>20904.94919712</v>
      </c>
      <c r="C12" s="103">
        <f>'Tabell 6'!AS15</f>
        <v>21410.059465719998</v>
      </c>
      <c r="D12" s="264">
        <f t="shared" si="0"/>
        <v>2.4</v>
      </c>
      <c r="E12" s="264"/>
      <c r="F12" s="262">
        <f>'Tabell 6'!AR15/'Tabell 6'!AR29*100</f>
        <v>15.626611775343607</v>
      </c>
      <c r="G12" s="262">
        <f>'Tabell 6'!AS15/'Tabell 6'!AS29*100</f>
        <v>15.426794132605181</v>
      </c>
      <c r="H12" s="263">
        <f t="shared" si="1"/>
        <v>-1.3</v>
      </c>
      <c r="I12" s="102"/>
      <c r="J12" s="72"/>
    </row>
    <row r="13" spans="1:10" ht="18.75" customHeight="1" x14ac:dyDescent="0.3">
      <c r="A13" s="84" t="s">
        <v>182</v>
      </c>
      <c r="B13" s="103">
        <f>'Tabell 6'!AR19+'Tabell 6'!AR23</f>
        <v>17883.329645270001</v>
      </c>
      <c r="C13" s="103">
        <f>'Tabell 6'!AS19+'Tabell 6'!AS23</f>
        <v>21419.034059229998</v>
      </c>
      <c r="D13" s="262">
        <f t="shared" si="0"/>
        <v>19.8</v>
      </c>
      <c r="E13" s="262"/>
      <c r="F13" s="262">
        <f>('Tabell 6'!AR19+'Tabell 6'!AR23)/'Tabell 6'!AR29*100</f>
        <v>13.367927708507764</v>
      </c>
      <c r="G13" s="262">
        <f>('Tabell 6'!AS19+'Tabell 6'!AS23)/'Tabell 6'!AS29*100</f>
        <v>15.43326068197298</v>
      </c>
      <c r="H13" s="263">
        <f t="shared" si="1"/>
        <v>15.4</v>
      </c>
      <c r="I13" s="102"/>
      <c r="J13" s="72"/>
    </row>
    <row r="14" spans="1:10" ht="18.75" customHeight="1" x14ac:dyDescent="0.3">
      <c r="A14" s="84" t="s">
        <v>183</v>
      </c>
      <c r="B14" s="174">
        <f>'Tabell 6'!AR17-'Tabell 6'!AR18+'Tabell 6'!AR24+'Tabell 6'!AR25+'Tabell 6'!AR26+'Tabell 6'!AR28</f>
        <v>22836.990235649999</v>
      </c>
      <c r="C14" s="174">
        <f>'Tabell 6'!AS17-'Tabell 6'!AS18+'Tabell 6'!AS24+'Tabell 6'!AS25+'Tabell 6'!AS26+'Tabell 6'!AS28</f>
        <v>17989.116328489999</v>
      </c>
      <c r="D14" s="262">
        <f t="shared" si="0"/>
        <v>-21.2</v>
      </c>
      <c r="E14" s="262"/>
      <c r="F14" s="262">
        <f>('Tabell 6'!AR17-'Tabell 6'!AR18+'Tabell 6'!AR24+'Tabell 6'!AR25+'Tabell 6'!AR26+'Tabell 6'!AR28)/'Tabell 6'!AR29*100</f>
        <v>17.070827446879385</v>
      </c>
      <c r="G14" s="262">
        <f>('Tabell 6'!AS17-'Tabell 6'!AS18+'Tabell 6'!AS24+'Tabell 6'!AS25+'Tabell 6'!AS26+'Tabell 6'!AS28)/'Tabell 6'!AS29*100</f>
        <v>12.96186938067288</v>
      </c>
      <c r="H14" s="263">
        <f t="shared" si="1"/>
        <v>-24.1</v>
      </c>
      <c r="I14" s="102"/>
      <c r="J14" s="72"/>
    </row>
    <row r="15" spans="1:10" ht="18.75" customHeight="1" x14ac:dyDescent="0.3">
      <c r="A15" s="191"/>
      <c r="B15" s="101"/>
      <c r="C15" s="174"/>
      <c r="D15" s="263"/>
      <c r="E15" s="263"/>
      <c r="F15" s="263"/>
      <c r="G15" s="262"/>
      <c r="H15" s="263"/>
      <c r="I15" s="102"/>
      <c r="J15" s="72"/>
    </row>
    <row r="16" spans="1:10" s="133" customFormat="1" ht="18.75" customHeight="1" x14ac:dyDescent="0.3">
      <c r="A16" s="99" t="s">
        <v>184</v>
      </c>
      <c r="B16" s="107">
        <f>SUM(B17:B22)</f>
        <v>1005917.1953816601</v>
      </c>
      <c r="C16" s="107">
        <f>SUM(C17:C22)</f>
        <v>1039530.7631996198</v>
      </c>
      <c r="D16" s="260">
        <f t="shared" si="0"/>
        <v>3.3</v>
      </c>
      <c r="E16" s="260"/>
      <c r="F16" s="260">
        <f>SUM(F17:F22)</f>
        <v>99.99999999980416</v>
      </c>
      <c r="G16" s="260">
        <f>SUM(G17:G22)</f>
        <v>100</v>
      </c>
      <c r="H16" s="261">
        <f t="shared" si="1"/>
        <v>0</v>
      </c>
      <c r="I16" s="108"/>
      <c r="J16" s="73"/>
    </row>
    <row r="17" spans="1:10" ht="18.75" customHeight="1" x14ac:dyDescent="0.3">
      <c r="A17" s="84" t="s">
        <v>178</v>
      </c>
      <c r="B17" s="101">
        <f>'Tabell 6'!AR40</f>
        <v>137717.83470770001</v>
      </c>
      <c r="C17" s="101">
        <f>'Tabell 6'!AS40</f>
        <v>166194.05846521998</v>
      </c>
      <c r="D17" s="262">
        <f t="shared" si="0"/>
        <v>20.7</v>
      </c>
      <c r="E17" s="262"/>
      <c r="F17" s="262">
        <f>'Tabell 6'!AR40/('Tabell 6'!AR45+'Tabell 6'!AR46)*100</f>
        <v>13.690772494964468</v>
      </c>
      <c r="G17" s="262">
        <f>'Tabell 6'!AS40/('Tabell 6'!AS45+'Tabell 6'!AS46)*100</f>
        <v>15.987411277150049</v>
      </c>
      <c r="H17" s="263">
        <f t="shared" si="1"/>
        <v>16.8</v>
      </c>
      <c r="I17" s="102"/>
      <c r="J17" s="72"/>
    </row>
    <row r="18" spans="1:10" ht="18.75" customHeight="1" x14ac:dyDescent="0.3">
      <c r="A18" s="84" t="s">
        <v>179</v>
      </c>
      <c r="B18" s="101">
        <f>'Tabell 6'!AR37+'Tabell 6'!AR41</f>
        <v>410531.72905229003</v>
      </c>
      <c r="C18" s="101">
        <f>'Tabell 6'!AS37+'Tabell 6'!AS41</f>
        <v>372351.18909874989</v>
      </c>
      <c r="D18" s="262">
        <f t="shared" si="0"/>
        <v>-9.3000000000000007</v>
      </c>
      <c r="E18" s="262"/>
      <c r="F18" s="262">
        <f>('Tabell 6'!AR37+'Tabell 6'!AR41)/('Tabell 6'!AR45+'Tabell 6'!AR46)*100</f>
        <v>40.811682207671595</v>
      </c>
      <c r="G18" s="262">
        <f>('Tabell 6'!AS37+'Tabell 6'!AS41)/('Tabell 6'!AS45+'Tabell 6'!AS46)*100</f>
        <v>35.819160171140382</v>
      </c>
      <c r="H18" s="263">
        <f t="shared" si="1"/>
        <v>-12.2</v>
      </c>
      <c r="I18" s="102"/>
      <c r="J18" s="72"/>
    </row>
    <row r="19" spans="1:10" ht="18.75" customHeight="1" x14ac:dyDescent="0.3">
      <c r="A19" s="84" t="s">
        <v>180</v>
      </c>
      <c r="B19" s="101">
        <f>'Tabell 6'!AR33</f>
        <v>16.305</v>
      </c>
      <c r="C19" s="101">
        <f>'Tabell 6'!AS33</f>
        <v>34.563000000000002</v>
      </c>
      <c r="D19" s="262">
        <f t="shared" si="0"/>
        <v>112</v>
      </c>
      <c r="E19" s="262"/>
      <c r="F19" s="262">
        <f>'Tabell 6'!AR33/('Tabell 6'!AR45+'Tabell 6'!AR46)*100</f>
        <v>1.6209087661317597E-3</v>
      </c>
      <c r="G19" s="262">
        <f>'Tabell 6'!AS33/('Tabell 6'!AS45+'Tabell 6'!AS46)*100</f>
        <v>3.3248655281366514E-3</v>
      </c>
      <c r="H19" s="263">
        <f t="shared" si="1"/>
        <v>105.1</v>
      </c>
      <c r="I19" s="102"/>
      <c r="J19" s="72"/>
    </row>
    <row r="20" spans="1:10" ht="18.75" customHeight="1" x14ac:dyDescent="0.3">
      <c r="A20" s="106" t="s">
        <v>181</v>
      </c>
      <c r="B20" s="103">
        <f>'Tabell 6'!AR34</f>
        <v>116255.08904748999</v>
      </c>
      <c r="C20" s="103">
        <f>'Tabell 6'!AS34</f>
        <v>121422.02289352</v>
      </c>
      <c r="D20" s="264">
        <f t="shared" si="0"/>
        <v>4.4000000000000004</v>
      </c>
      <c r="E20" s="264"/>
      <c r="F20" s="262">
        <f>'Tabell 6'!AR34/('Tabell 6'!AR45+'Tabell 6'!AR46)*100</f>
        <v>11.557123149003672</v>
      </c>
      <c r="G20" s="262">
        <f>'Tabell 6'!AS34/('Tabell 6'!AS45+'Tabell 6'!AS46)*100</f>
        <v>11.680464608838466</v>
      </c>
      <c r="H20" s="263">
        <f t="shared" si="1"/>
        <v>1.1000000000000001</v>
      </c>
      <c r="I20" s="102"/>
      <c r="J20" s="72"/>
    </row>
    <row r="21" spans="1:10" ht="18.75" customHeight="1" x14ac:dyDescent="0.3">
      <c r="A21" s="84" t="s">
        <v>182</v>
      </c>
      <c r="B21" s="101">
        <f>'Tabell 6'!AR38+'Tabell 6'!AR42</f>
        <v>320641.72107507999</v>
      </c>
      <c r="C21" s="101">
        <f>'Tabell 6'!AS38+'Tabell 6'!AS42</f>
        <v>366124.41326455999</v>
      </c>
      <c r="D21" s="262">
        <f t="shared" si="0"/>
        <v>14.2</v>
      </c>
      <c r="E21" s="262"/>
      <c r="F21" s="262">
        <f>('Tabell 6'!AR38+'Tabell 6'!AR42)/('Tabell 6'!AR45+'Tabell 6'!AR46)*100</f>
        <v>31.875558201666472</v>
      </c>
      <c r="G21" s="262">
        <f>('Tabell 6'!AS38+'Tabell 6'!AS42)/('Tabell 6'!AS45+'Tabell 6'!AS46)*100</f>
        <v>35.220161463778979</v>
      </c>
      <c r="H21" s="263">
        <f t="shared" si="1"/>
        <v>10.5</v>
      </c>
      <c r="I21" s="102"/>
      <c r="J21" s="72"/>
    </row>
    <row r="22" spans="1:10" ht="18.75" customHeight="1" x14ac:dyDescent="0.3">
      <c r="A22" s="191" t="s">
        <v>183</v>
      </c>
      <c r="B22" s="101">
        <f>'Tabell 6'!AR36-'Tabell 6'!AR37+'Tabell 6'!AR43+'Tabell 6'!AR44+'Tabell 6'!AR46</f>
        <v>20754.516499099998</v>
      </c>
      <c r="C22" s="101">
        <f>'Tabell 6'!AS36-'Tabell 6'!AS37+'Tabell 6'!AS43+'Tabell 6'!AS44+'Tabell 6'!AS46</f>
        <v>13404.516477570001</v>
      </c>
      <c r="D22" s="262">
        <f t="shared" si="0"/>
        <v>-35.4</v>
      </c>
      <c r="E22" s="262"/>
      <c r="F22" s="263">
        <f>('Tabell 6'!AR36-'Tabell 6'!AR37+'Tabell 6'!AR43+'Tabell 6'!AR44+'Tabell 6'!AR46)/('Tabell 6'!AR45+'Tabell 6'!AR46)*100</f>
        <v>2.0632430377318265</v>
      </c>
      <c r="G22" s="263">
        <f>('Tabell 6'!AS36-'Tabell 6'!AS37+'Tabell 6'!AS43+'Tabell 6'!AS44+'Tabell 6'!AS46)/('Tabell 6'!AS45+'Tabell 6'!AS46)*100</f>
        <v>1.2894776135639912</v>
      </c>
      <c r="H22" s="263">
        <f t="shared" si="1"/>
        <v>-37.5</v>
      </c>
      <c r="I22" s="102"/>
      <c r="J22" s="72"/>
    </row>
    <row r="23" spans="1:10" ht="18.75" customHeight="1" x14ac:dyDescent="0.3">
      <c r="A23" s="84"/>
      <c r="B23" s="174"/>
      <c r="C23" s="174"/>
      <c r="D23" s="263"/>
      <c r="E23" s="262"/>
      <c r="F23" s="262"/>
      <c r="G23" s="263"/>
      <c r="H23" s="263"/>
      <c r="I23" s="180"/>
      <c r="J23" s="72"/>
    </row>
    <row r="24" spans="1:10" ht="18.75" customHeight="1" x14ac:dyDescent="0.3">
      <c r="A24" s="135" t="s">
        <v>185</v>
      </c>
      <c r="B24" s="107">
        <f>SUM(B25:B30)</f>
        <v>218021.85446763001</v>
      </c>
      <c r="C24" s="107">
        <f>SUM(C25:C30)</f>
        <v>271918.06495443999</v>
      </c>
      <c r="D24" s="260">
        <f t="shared" si="0"/>
        <v>24.7</v>
      </c>
      <c r="E24" s="260"/>
      <c r="F24" s="261">
        <f>SUM(F25:F30)</f>
        <v>100</v>
      </c>
      <c r="G24" s="261">
        <f>SUM(G25:G30)</f>
        <v>100</v>
      </c>
      <c r="H24" s="263">
        <f t="shared" si="1"/>
        <v>0</v>
      </c>
      <c r="I24" s="180"/>
      <c r="J24" s="72"/>
    </row>
    <row r="25" spans="1:10" ht="18.75" customHeight="1" x14ac:dyDescent="0.3">
      <c r="A25" s="191" t="s">
        <v>178</v>
      </c>
      <c r="B25" s="101">
        <f>'Tabell 6'!AR55</f>
        <v>146468.04419854001</v>
      </c>
      <c r="C25" s="101">
        <f>'Tabell 6'!AS55</f>
        <v>188183.93190403</v>
      </c>
      <c r="D25" s="262">
        <f t="shared" si="0"/>
        <v>28.5</v>
      </c>
      <c r="E25" s="262"/>
      <c r="F25" s="262">
        <f>'Tabell 6'!AR55/('Tabell 6'!AR60+'Tabell 6'!AR61)*100</f>
        <v>67.180441408586546</v>
      </c>
      <c r="G25" s="262">
        <f>'Tabell 6'!AS55/('Tabell 6'!AS60+'Tabell 6'!AS61)*100</f>
        <v>69.206116164279223</v>
      </c>
      <c r="H25" s="263">
        <f t="shared" si="1"/>
        <v>3</v>
      </c>
      <c r="I25" s="180"/>
      <c r="J25" s="72"/>
    </row>
    <row r="26" spans="1:10" ht="18.75" customHeight="1" x14ac:dyDescent="0.3">
      <c r="A26" s="191" t="s">
        <v>179</v>
      </c>
      <c r="B26" s="101">
        <f>'Tabell 6'!AR52+'Tabell 6'!AR56</f>
        <v>63427.885423300002</v>
      </c>
      <c r="C26" s="101">
        <f>'Tabell 6'!AS52+'Tabell 6'!AS56</f>
        <v>74789.032864620007</v>
      </c>
      <c r="D26" s="262">
        <f t="shared" si="0"/>
        <v>17.899999999999999</v>
      </c>
      <c r="E26" s="262"/>
      <c r="F26" s="262">
        <f>('Tabell 6'!AR52+'Tabell 6'!AR56)/('Tabell 6'!AR60+'Tabell 6'!AR61)*100</f>
        <v>29.092443772749039</v>
      </c>
      <c r="G26" s="262">
        <f>('Tabell 6'!AS52+'Tabell 6'!AS56)/('Tabell 6'!AS60+'Tabell 6'!AS61)*100</f>
        <v>27.50425312020036</v>
      </c>
      <c r="H26" s="263">
        <f t="shared" si="1"/>
        <v>-5.5</v>
      </c>
      <c r="I26" s="180"/>
      <c r="J26" s="72"/>
    </row>
    <row r="27" spans="1:10" ht="18.75" customHeight="1" x14ac:dyDescent="0.3">
      <c r="A27" s="191" t="s">
        <v>180</v>
      </c>
      <c r="B27" s="101">
        <f>'Tabell 6'!AR48</f>
        <v>0</v>
      </c>
      <c r="C27" s="101">
        <f>'Tabell 6'!AS48</f>
        <v>0</v>
      </c>
      <c r="D27" s="262" t="str">
        <f t="shared" si="0"/>
        <v xml:space="preserve">    ---- </v>
      </c>
      <c r="E27" s="262"/>
      <c r="F27" s="262">
        <f>'Tabell 6'!AR48/('Tabell 6'!AR60+'Tabell 6'!AR61)*100</f>
        <v>0</v>
      </c>
      <c r="G27" s="262">
        <f>'Tabell 6'!AS48/('Tabell 6'!AS60+'Tabell 6'!AS61)*100</f>
        <v>0</v>
      </c>
      <c r="H27" s="263" t="str">
        <f t="shared" si="1"/>
        <v xml:space="preserve">    ---- </v>
      </c>
      <c r="I27" s="180"/>
      <c r="J27" s="72"/>
    </row>
    <row r="28" spans="1:10" ht="18.75" customHeight="1" x14ac:dyDescent="0.3">
      <c r="A28" s="106" t="s">
        <v>181</v>
      </c>
      <c r="B28" s="103">
        <f>'Tabell 6'!AR49</f>
        <v>3065.36432388</v>
      </c>
      <c r="C28" s="103">
        <f>'Tabell 6'!AS49</f>
        <v>3948.1882958800002</v>
      </c>
      <c r="D28" s="264">
        <f t="shared" si="0"/>
        <v>28.8</v>
      </c>
      <c r="E28" s="264"/>
      <c r="F28" s="262">
        <f>'Tabell 6'!AR49/('Tabell 6'!AR60+'Tabell 6'!AR61)*100</f>
        <v>1.4059894735622103</v>
      </c>
      <c r="G28" s="262">
        <f>'Tabell 6'!AS49/('Tabell 6'!AS60+'Tabell 6'!AS61)*100</f>
        <v>1.4519771963446126</v>
      </c>
      <c r="H28" s="263">
        <f t="shared" si="1"/>
        <v>3.3</v>
      </c>
      <c r="I28" s="180"/>
      <c r="J28" s="72"/>
    </row>
    <row r="29" spans="1:10" ht="18.75" customHeight="1" x14ac:dyDescent="0.3">
      <c r="A29" s="191" t="s">
        <v>182</v>
      </c>
      <c r="B29" s="101">
        <f>'Tabell 6'!AR53+'Tabell 6'!AR57</f>
        <v>2642.6684552199999</v>
      </c>
      <c r="C29" s="101">
        <f>'Tabell 6'!AS53+'Tabell 6'!AS57</f>
        <v>3477.88687261</v>
      </c>
      <c r="D29" s="262">
        <f t="shared" si="0"/>
        <v>31.6</v>
      </c>
      <c r="E29" s="262"/>
      <c r="F29" s="262">
        <f>('Tabell 6'!AR53+'Tabell 6'!AR57)/('Tabell 6'!AR60+'Tabell 6'!AR61)*100</f>
        <v>1.2121117223192688</v>
      </c>
      <c r="G29" s="262">
        <f>('Tabell 6'!AS53+'Tabell 6'!AS57)/('Tabell 6'!AS60+'Tabell 6'!AS61)*100</f>
        <v>1.2790201611624155</v>
      </c>
      <c r="H29" s="263">
        <f t="shared" si="1"/>
        <v>5.5</v>
      </c>
      <c r="I29" s="180"/>
      <c r="J29" s="72"/>
    </row>
    <row r="30" spans="1:10" ht="18.75" customHeight="1" x14ac:dyDescent="0.3">
      <c r="A30" s="84" t="s">
        <v>183</v>
      </c>
      <c r="B30" s="101">
        <f>'Tabell 6'!AR51-'Tabell 6'!AR52+'Tabell 6'!AR58+'Tabell 6'!AR59+'Tabell 6'!AR61</f>
        <v>2417.8920666900003</v>
      </c>
      <c r="C30" s="101">
        <f>'Tabell 6'!AS51-'Tabell 6'!AS52+'Tabell 6'!AS58+'Tabell 6'!AS59+'Tabell 6'!AS61</f>
        <v>1519.0250172999999</v>
      </c>
      <c r="D30" s="263">
        <f t="shared" si="0"/>
        <v>-37.200000000000003</v>
      </c>
      <c r="E30" s="263"/>
      <c r="F30" s="263">
        <f>('Tabell 6'!AR51-'Tabell 6'!AR52+'Tabell 6'!AR58+'Tabell 6'!AR59+'Tabell 6'!AR61)/('Tabell 6'!AR60+'Tabell 6'!AR61)*100</f>
        <v>1.1090136227829344</v>
      </c>
      <c r="G30" s="263">
        <f>('Tabell 6'!AS51-'Tabell 6'!AS52+'Tabell 6'!AS58+'Tabell 6'!AS59+'Tabell 6'!AS61)/('Tabell 6'!AS60+'Tabell 6'!AS61)*100</f>
        <v>0.55863335801338299</v>
      </c>
      <c r="H30" s="263">
        <f t="shared" si="1"/>
        <v>-49.6</v>
      </c>
      <c r="I30" s="180"/>
      <c r="J30" s="72"/>
    </row>
    <row r="31" spans="1:10" ht="18.75" customHeight="1" x14ac:dyDescent="0.3">
      <c r="A31" s="191"/>
      <c r="B31" s="174"/>
      <c r="C31" s="174"/>
      <c r="D31" s="262"/>
      <c r="E31" s="262"/>
      <c r="F31" s="262"/>
      <c r="G31" s="263"/>
      <c r="H31" s="263"/>
      <c r="I31" s="180"/>
      <c r="J31" s="72"/>
    </row>
    <row r="32" spans="1:10" ht="18.75" customHeight="1" x14ac:dyDescent="0.3">
      <c r="A32" s="135" t="s">
        <v>2</v>
      </c>
      <c r="B32" s="107">
        <f>SUM(B33:B38)</f>
        <v>1357716.8850384899</v>
      </c>
      <c r="C32" s="107">
        <f>SUM(C33:C38)</f>
        <v>1450233.7194392099</v>
      </c>
      <c r="D32" s="260">
        <f t="shared" si="0"/>
        <v>6.8</v>
      </c>
      <c r="E32" s="260"/>
      <c r="F32" s="260">
        <f>SUM(F33:F38)</f>
        <v>100.00000000000001</v>
      </c>
      <c r="G32" s="260">
        <f>SUM(G33:G38)</f>
        <v>100.00000000000001</v>
      </c>
      <c r="H32" s="261">
        <f t="shared" si="1"/>
        <v>0</v>
      </c>
      <c r="I32" s="180"/>
      <c r="J32" s="72"/>
    </row>
    <row r="33" spans="1:10" ht="18.75" customHeight="1" x14ac:dyDescent="0.3">
      <c r="A33" s="191" t="s">
        <v>178</v>
      </c>
      <c r="B33" s="101">
        <f t="shared" ref="B33:C38" si="2">B9+B17+B25</f>
        <v>286979.07400614</v>
      </c>
      <c r="C33" s="101">
        <f t="shared" si="2"/>
        <v>357756.27516924997</v>
      </c>
      <c r="D33" s="262">
        <f t="shared" si="0"/>
        <v>24.7</v>
      </c>
      <c r="E33" s="262"/>
      <c r="F33" s="262">
        <f>B33/B32*100</f>
        <v>21.136886280824623</v>
      </c>
      <c r="G33" s="262">
        <f>C33/C32*100</f>
        <v>24.668870291306604</v>
      </c>
      <c r="H33" s="263">
        <f t="shared" si="1"/>
        <v>16.7</v>
      </c>
      <c r="I33" s="180"/>
      <c r="J33" s="72"/>
    </row>
    <row r="34" spans="1:10" ht="18.75" customHeight="1" x14ac:dyDescent="0.3">
      <c r="A34" s="191" t="s">
        <v>179</v>
      </c>
      <c r="B34" s="101">
        <f t="shared" si="2"/>
        <v>542326.08956710005</v>
      </c>
      <c r="C34" s="101">
        <f t="shared" si="2"/>
        <v>520734.40833632986</v>
      </c>
      <c r="D34" s="262">
        <f t="shared" si="0"/>
        <v>-4</v>
      </c>
      <c r="E34" s="262"/>
      <c r="F34" s="262">
        <f>B34/B32*100</f>
        <v>39.943974737540785</v>
      </c>
      <c r="G34" s="262">
        <f>C34/C32*100</f>
        <v>35.906930128317001</v>
      </c>
      <c r="H34" s="263">
        <f t="shared" si="1"/>
        <v>-10.1</v>
      </c>
      <c r="I34" s="180"/>
      <c r="J34" s="72"/>
    </row>
    <row r="35" spans="1:10" ht="18.75" customHeight="1" x14ac:dyDescent="0.3">
      <c r="A35" s="191" t="s">
        <v>180</v>
      </c>
      <c r="B35" s="101">
        <f t="shared" si="2"/>
        <v>1009.2009197499999</v>
      </c>
      <c r="C35" s="101">
        <f t="shared" si="2"/>
        <v>1028.77325875</v>
      </c>
      <c r="D35" s="262">
        <f t="shared" si="0"/>
        <v>1.9</v>
      </c>
      <c r="E35" s="262"/>
      <c r="F35" s="262">
        <f>B35/B32*100</f>
        <v>7.4330733518231967E-2</v>
      </c>
      <c r="G35" s="262">
        <f>C35/C32*100</f>
        <v>7.0938445642252462E-2</v>
      </c>
      <c r="H35" s="263">
        <f t="shared" si="1"/>
        <v>-4.5999999999999996</v>
      </c>
      <c r="I35" s="180"/>
      <c r="J35" s="72"/>
    </row>
    <row r="36" spans="1:10" ht="18.75" customHeight="1" x14ac:dyDescent="0.3">
      <c r="A36" s="106" t="s">
        <v>181</v>
      </c>
      <c r="B36" s="103">
        <f t="shared" si="2"/>
        <v>140225.40256848998</v>
      </c>
      <c r="C36" s="103">
        <f t="shared" si="2"/>
        <v>146780.27065512</v>
      </c>
      <c r="D36" s="264">
        <f t="shared" si="0"/>
        <v>4.7</v>
      </c>
      <c r="E36" s="264"/>
      <c r="F36" s="262">
        <f>B36/B32*100</f>
        <v>10.328029658739549</v>
      </c>
      <c r="G36" s="262">
        <f>C36/C32*100</f>
        <v>10.121145901357083</v>
      </c>
      <c r="H36" s="263">
        <f t="shared" si="1"/>
        <v>-2</v>
      </c>
      <c r="I36" s="180"/>
      <c r="J36" s="72"/>
    </row>
    <row r="37" spans="1:10" ht="18.75" customHeight="1" x14ac:dyDescent="0.3">
      <c r="A37" s="191" t="s">
        <v>182</v>
      </c>
      <c r="B37" s="101">
        <f t="shared" si="2"/>
        <v>341167.71917557</v>
      </c>
      <c r="C37" s="101">
        <f t="shared" si="2"/>
        <v>391021.33419640001</v>
      </c>
      <c r="D37" s="262">
        <f t="shared" si="0"/>
        <v>14.6</v>
      </c>
      <c r="E37" s="262"/>
      <c r="F37" s="262">
        <f>B37/B32*100</f>
        <v>25.128045687219853</v>
      </c>
      <c r="G37" s="262">
        <f>C37/C32*100</f>
        <v>26.962642569613116</v>
      </c>
      <c r="H37" s="263">
        <f t="shared" si="1"/>
        <v>7.3</v>
      </c>
      <c r="I37" s="180"/>
      <c r="J37" s="72"/>
    </row>
    <row r="38" spans="1:10" ht="18.75" customHeight="1" x14ac:dyDescent="0.3">
      <c r="A38" s="265" t="s">
        <v>183</v>
      </c>
      <c r="B38" s="266">
        <f t="shared" si="2"/>
        <v>46009.398801440002</v>
      </c>
      <c r="C38" s="266">
        <f t="shared" si="2"/>
        <v>32912.657823360001</v>
      </c>
      <c r="D38" s="267">
        <f t="shared" si="0"/>
        <v>-28.5</v>
      </c>
      <c r="E38" s="262"/>
      <c r="F38" s="267">
        <f>B38/B32*100</f>
        <v>3.3887329021569679</v>
      </c>
      <c r="G38" s="267">
        <f>C38/C32*100</f>
        <v>2.2694726637639469</v>
      </c>
      <c r="H38" s="268">
        <f t="shared" si="1"/>
        <v>-33</v>
      </c>
      <c r="I38" s="180"/>
      <c r="J38" s="72"/>
    </row>
    <row r="39" spans="1:10" ht="18.75" customHeight="1" x14ac:dyDescent="0.3">
      <c r="A39" s="110"/>
      <c r="B39" s="110"/>
      <c r="C39" s="110"/>
      <c r="D39" s="110"/>
      <c r="E39" s="110"/>
      <c r="F39" s="180"/>
      <c r="G39" s="180"/>
      <c r="H39" s="180"/>
      <c r="I39" s="180"/>
      <c r="J39" s="72"/>
    </row>
    <row r="40" spans="1:10" ht="18.75" customHeight="1" x14ac:dyDescent="0.3">
      <c r="A40" s="110" t="s">
        <v>186</v>
      </c>
      <c r="B40" s="110"/>
      <c r="C40" s="110"/>
      <c r="D40" s="110"/>
      <c r="E40" s="110"/>
      <c r="F40" s="180"/>
      <c r="G40" s="180"/>
      <c r="H40" s="180"/>
      <c r="I40" s="180"/>
      <c r="J40" s="72"/>
    </row>
    <row r="41" spans="1:10" ht="18.75" x14ac:dyDescent="0.3">
      <c r="A41" s="110" t="s">
        <v>113</v>
      </c>
      <c r="B41" s="110"/>
      <c r="C41" s="110"/>
      <c r="D41" s="110"/>
      <c r="E41" s="110"/>
      <c r="F41" s="72"/>
      <c r="G41" s="72"/>
      <c r="H41" s="72"/>
      <c r="I41" s="72"/>
      <c r="J41" s="72"/>
    </row>
    <row r="42" spans="1:10" ht="18.75" x14ac:dyDescent="0.3">
      <c r="A42" s="72"/>
      <c r="B42" s="72"/>
      <c r="C42" s="72"/>
      <c r="D42" s="72"/>
      <c r="E42" s="72"/>
      <c r="G42" s="72"/>
      <c r="H42" s="72"/>
      <c r="I42" s="72"/>
      <c r="J42" s="72"/>
    </row>
    <row r="43" spans="1:10" ht="18.75" x14ac:dyDescent="0.3">
      <c r="A43" s="72"/>
      <c r="B43" s="72"/>
      <c r="C43" s="72"/>
      <c r="D43" s="72"/>
      <c r="E43" s="72"/>
      <c r="F43" s="72"/>
      <c r="G43" s="72"/>
      <c r="H43" s="72"/>
      <c r="I43" s="72"/>
      <c r="J43" s="72"/>
    </row>
    <row r="44" spans="1:10" ht="18.75" x14ac:dyDescent="0.3">
      <c r="A44" s="72"/>
      <c r="B44" s="72"/>
      <c r="C44" s="72"/>
      <c r="D44" s="72"/>
      <c r="E44" s="72"/>
      <c r="F44" s="72"/>
      <c r="G44" s="72"/>
      <c r="H44" s="72"/>
      <c r="I44" s="72"/>
      <c r="J44" s="72"/>
    </row>
    <row r="45" spans="1:10" ht="18.75" x14ac:dyDescent="0.3">
      <c r="A45" s="72"/>
      <c r="B45" s="72"/>
      <c r="C45" s="72"/>
      <c r="D45" s="72"/>
      <c r="E45" s="72"/>
      <c r="F45" s="72"/>
      <c r="G45" s="72"/>
      <c r="H45" s="72"/>
      <c r="I45" s="72"/>
      <c r="J45" s="72"/>
    </row>
    <row r="46" spans="1:10" ht="18.75" x14ac:dyDescent="0.3">
      <c r="A46" s="72"/>
      <c r="B46" s="72"/>
      <c r="C46" s="72"/>
      <c r="D46" s="72"/>
      <c r="E46" s="72"/>
      <c r="F46" s="72"/>
      <c r="G46" s="72"/>
      <c r="H46" s="72"/>
      <c r="I46" s="72"/>
      <c r="J46" s="72"/>
    </row>
    <row r="47" spans="1:10" ht="18.75" x14ac:dyDescent="0.3">
      <c r="A47" s="72"/>
      <c r="B47" s="72"/>
      <c r="C47" s="72"/>
      <c r="D47" s="72"/>
      <c r="E47" s="72"/>
      <c r="F47" s="72"/>
      <c r="G47" s="72"/>
      <c r="H47" s="72"/>
      <c r="I47" s="72"/>
      <c r="J47" s="72"/>
    </row>
    <row r="48" spans="1:10" ht="18.75" x14ac:dyDescent="0.3">
      <c r="A48" s="72"/>
      <c r="B48" s="72"/>
      <c r="C48" s="72"/>
      <c r="D48" s="72"/>
      <c r="E48" s="72"/>
      <c r="F48" s="72"/>
      <c r="G48" s="72"/>
      <c r="H48" s="72"/>
      <c r="I48" s="72"/>
      <c r="J48" s="72"/>
    </row>
    <row r="49" spans="1:10" ht="18.75" x14ac:dyDescent="0.3">
      <c r="A49" s="72"/>
      <c r="B49" s="72"/>
      <c r="C49" s="72"/>
      <c r="D49" s="72"/>
      <c r="E49" s="72"/>
      <c r="F49" s="72"/>
      <c r="G49" s="72"/>
      <c r="H49" s="72"/>
      <c r="I49" s="72"/>
      <c r="J49" s="72"/>
    </row>
    <row r="50" spans="1:10" ht="18.75" x14ac:dyDescent="0.3">
      <c r="A50" s="72"/>
      <c r="B50" s="72"/>
      <c r="C50" s="72"/>
      <c r="D50" s="72"/>
      <c r="E50" s="72"/>
      <c r="F50" s="72"/>
      <c r="G50" s="72"/>
      <c r="H50" s="72"/>
      <c r="I50" s="72"/>
      <c r="J50" s="72"/>
    </row>
    <row r="51" spans="1:10" ht="18.75" x14ac:dyDescent="0.3">
      <c r="A51" s="72"/>
      <c r="B51" s="72"/>
      <c r="C51" s="72"/>
      <c r="D51" s="72"/>
      <c r="E51" s="72"/>
      <c r="F51" s="72"/>
      <c r="G51" s="72"/>
      <c r="H51" s="72"/>
      <c r="I51" s="72"/>
      <c r="J51" s="72"/>
    </row>
    <row r="52" spans="1:10" ht="18.75" x14ac:dyDescent="0.3">
      <c r="A52" s="72"/>
      <c r="B52" s="72"/>
      <c r="C52" s="72"/>
      <c r="D52" s="72"/>
      <c r="E52" s="72"/>
      <c r="F52" s="72"/>
      <c r="G52" s="72"/>
      <c r="H52" s="72"/>
      <c r="I52" s="72"/>
      <c r="J52" s="72"/>
    </row>
    <row r="53" spans="1:10" ht="18.75" x14ac:dyDescent="0.3">
      <c r="A53" s="72"/>
      <c r="B53" s="72"/>
      <c r="C53" s="72"/>
      <c r="D53" s="72"/>
      <c r="E53" s="72"/>
      <c r="F53" s="72"/>
      <c r="G53" s="72"/>
      <c r="H53" s="72"/>
      <c r="I53" s="72"/>
      <c r="J53" s="72"/>
    </row>
    <row r="54" spans="1:10" ht="18.75" x14ac:dyDescent="0.3">
      <c r="A54" s="72"/>
      <c r="B54" s="72"/>
      <c r="C54" s="72"/>
      <c r="D54" s="72"/>
      <c r="E54" s="72"/>
      <c r="F54" s="72"/>
      <c r="G54" s="72"/>
      <c r="H54" s="72"/>
      <c r="I54" s="72"/>
      <c r="J54" s="72"/>
    </row>
    <row r="55" spans="1:10" ht="18.75" x14ac:dyDescent="0.3">
      <c r="A55" s="72"/>
      <c r="B55" s="72"/>
      <c r="C55" s="72"/>
      <c r="D55" s="72"/>
      <c r="E55" s="72"/>
      <c r="F55" s="72"/>
      <c r="G55" s="72"/>
      <c r="H55" s="72"/>
      <c r="I55" s="72"/>
      <c r="J55" s="72"/>
    </row>
    <row r="56" spans="1:10" ht="18.75" x14ac:dyDescent="0.3">
      <c r="A56" s="72"/>
      <c r="B56" s="72"/>
      <c r="C56" s="72"/>
      <c r="D56" s="72"/>
      <c r="E56" s="72"/>
      <c r="F56" s="72"/>
      <c r="G56" s="72"/>
      <c r="H56" s="72"/>
      <c r="I56" s="72"/>
      <c r="J56" s="72"/>
    </row>
    <row r="57" spans="1:10" ht="18.75" x14ac:dyDescent="0.3">
      <c r="A57" s="72"/>
      <c r="B57" s="72"/>
      <c r="C57" s="72"/>
      <c r="D57" s="72"/>
      <c r="E57" s="72"/>
      <c r="F57" s="72"/>
      <c r="G57" s="72"/>
      <c r="H57" s="72"/>
      <c r="I57" s="72"/>
      <c r="J57" s="72"/>
    </row>
    <row r="58" spans="1:10" ht="18.75" x14ac:dyDescent="0.3">
      <c r="A58" s="72"/>
      <c r="B58" s="72"/>
      <c r="C58" s="72"/>
      <c r="D58" s="72"/>
      <c r="E58" s="72"/>
      <c r="F58" s="72"/>
      <c r="G58" s="72"/>
      <c r="H58" s="72"/>
      <c r="I58" s="72"/>
      <c r="J58" s="72"/>
    </row>
    <row r="59" spans="1:10" ht="18.75" x14ac:dyDescent="0.3">
      <c r="A59" s="72"/>
      <c r="B59" s="72"/>
      <c r="C59" s="72"/>
      <c r="D59" s="72"/>
      <c r="E59" s="72"/>
      <c r="F59" s="72"/>
      <c r="G59" s="72"/>
      <c r="H59" s="72"/>
      <c r="I59" s="72"/>
      <c r="J59" s="72"/>
    </row>
    <row r="60" spans="1:10" ht="18.75" x14ac:dyDescent="0.3">
      <c r="A60" s="72"/>
      <c r="B60" s="72"/>
      <c r="C60" s="72"/>
      <c r="D60" s="72"/>
      <c r="E60" s="72"/>
      <c r="F60" s="72"/>
      <c r="G60" s="72"/>
      <c r="H60" s="72"/>
      <c r="I60" s="72"/>
      <c r="J60" s="72"/>
    </row>
    <row r="61" spans="1:10" ht="18.75" x14ac:dyDescent="0.3">
      <c r="A61" s="72"/>
      <c r="B61" s="72"/>
      <c r="C61" s="72"/>
      <c r="D61" s="72"/>
      <c r="E61" s="72"/>
      <c r="F61" s="72"/>
      <c r="G61" s="72"/>
      <c r="H61" s="72"/>
      <c r="I61" s="72"/>
      <c r="J61" s="72"/>
    </row>
    <row r="62" spans="1:10" ht="18.75" x14ac:dyDescent="0.3">
      <c r="A62" s="72"/>
      <c r="B62" s="72"/>
      <c r="C62" s="72"/>
      <c r="D62" s="72"/>
      <c r="E62" s="72"/>
      <c r="F62" s="72"/>
      <c r="G62" s="72"/>
      <c r="H62" s="72"/>
      <c r="I62" s="72"/>
      <c r="J62" s="72"/>
    </row>
    <row r="63" spans="1:10" ht="18.75" x14ac:dyDescent="0.3">
      <c r="A63" s="72"/>
      <c r="B63" s="72"/>
      <c r="C63" s="72"/>
      <c r="D63" s="72"/>
      <c r="E63" s="72"/>
      <c r="F63" s="72"/>
      <c r="G63" s="72"/>
      <c r="H63" s="72"/>
      <c r="I63" s="72"/>
      <c r="J63" s="72"/>
    </row>
    <row r="64" spans="1:10" ht="18.75" x14ac:dyDescent="0.3">
      <c r="A64" s="72"/>
      <c r="B64" s="72"/>
      <c r="C64" s="72"/>
      <c r="D64" s="72"/>
      <c r="E64" s="72"/>
      <c r="F64" s="72"/>
      <c r="G64" s="72"/>
      <c r="H64" s="72"/>
      <c r="I64" s="72"/>
      <c r="J64" s="72"/>
    </row>
    <row r="65" spans="1:10" ht="18.75" x14ac:dyDescent="0.3">
      <c r="A65" s="72"/>
      <c r="B65" s="72"/>
      <c r="C65" s="72"/>
      <c r="D65" s="72"/>
      <c r="E65" s="72"/>
      <c r="F65" s="72"/>
      <c r="G65" s="72"/>
      <c r="H65" s="72"/>
      <c r="I65" s="72"/>
      <c r="J65" s="72"/>
    </row>
    <row r="66" spans="1:10" ht="18.75" x14ac:dyDescent="0.3">
      <c r="A66" s="72"/>
      <c r="B66" s="72"/>
      <c r="C66" s="72"/>
      <c r="D66" s="72"/>
      <c r="E66" s="72"/>
      <c r="F66" s="72"/>
      <c r="G66" s="72"/>
      <c r="H66" s="72"/>
      <c r="I66" s="72"/>
      <c r="J66" s="72"/>
    </row>
    <row r="67" spans="1:10" ht="18.75" x14ac:dyDescent="0.3">
      <c r="A67" s="72"/>
      <c r="B67" s="72"/>
      <c r="C67" s="72"/>
      <c r="D67" s="72"/>
      <c r="E67" s="72"/>
      <c r="F67" s="72"/>
      <c r="G67" s="72"/>
      <c r="H67" s="72"/>
      <c r="I67" s="72"/>
      <c r="J67" s="72"/>
    </row>
    <row r="68" spans="1:10" ht="18.75" x14ac:dyDescent="0.3">
      <c r="A68" s="72"/>
      <c r="B68" s="72"/>
      <c r="C68" s="72"/>
      <c r="D68" s="72"/>
      <c r="E68" s="72"/>
      <c r="F68" s="72"/>
      <c r="G68" s="72"/>
      <c r="H68" s="72"/>
      <c r="I68" s="72"/>
      <c r="J68" s="72"/>
    </row>
    <row r="69" spans="1:10" ht="18.75" x14ac:dyDescent="0.3">
      <c r="A69" s="72"/>
      <c r="B69" s="72"/>
      <c r="C69" s="72"/>
      <c r="D69" s="72"/>
      <c r="E69" s="72"/>
      <c r="F69" s="72"/>
      <c r="G69" s="72"/>
      <c r="H69" s="72"/>
      <c r="I69" s="72"/>
      <c r="J69" s="72"/>
    </row>
    <row r="70" spans="1:10" ht="18.75" x14ac:dyDescent="0.3">
      <c r="A70" s="72"/>
      <c r="B70" s="72"/>
      <c r="C70" s="72"/>
      <c r="D70" s="72"/>
      <c r="E70" s="72"/>
      <c r="F70" s="72"/>
      <c r="G70" s="72"/>
      <c r="H70" s="72"/>
      <c r="I70" s="72"/>
      <c r="J70" s="72"/>
    </row>
    <row r="71" spans="1:10" ht="18.75" x14ac:dyDescent="0.3">
      <c r="A71" s="72"/>
      <c r="B71" s="72"/>
      <c r="C71" s="72"/>
      <c r="D71" s="72"/>
      <c r="E71" s="72"/>
      <c r="F71" s="72"/>
      <c r="G71" s="72"/>
      <c r="H71" s="72"/>
      <c r="I71" s="72"/>
      <c r="J71" s="72"/>
    </row>
    <row r="72" spans="1:10" ht="18.75" x14ac:dyDescent="0.3">
      <c r="A72" s="72"/>
      <c r="B72" s="72"/>
      <c r="C72" s="72"/>
      <c r="D72" s="72"/>
      <c r="E72" s="72"/>
      <c r="F72" s="72"/>
      <c r="G72" s="72"/>
      <c r="H72" s="72"/>
      <c r="I72" s="72"/>
      <c r="J72" s="72"/>
    </row>
    <row r="73" spans="1:10" ht="18.75" x14ac:dyDescent="0.3">
      <c r="A73" s="72"/>
      <c r="B73" s="72"/>
      <c r="C73" s="72"/>
      <c r="D73" s="72"/>
      <c r="E73" s="72"/>
      <c r="F73" s="72"/>
      <c r="G73" s="72"/>
      <c r="H73" s="72"/>
      <c r="I73" s="72"/>
      <c r="J73" s="72"/>
    </row>
    <row r="74" spans="1:10" ht="18.75" x14ac:dyDescent="0.3">
      <c r="A74" s="72"/>
      <c r="B74" s="72"/>
      <c r="C74" s="72"/>
      <c r="D74" s="72"/>
      <c r="E74" s="72"/>
      <c r="F74" s="72"/>
      <c r="G74" s="72"/>
      <c r="H74" s="72"/>
      <c r="I74" s="72"/>
      <c r="J74" s="72"/>
    </row>
    <row r="75" spans="1:10" ht="18.75" x14ac:dyDescent="0.3">
      <c r="A75" s="72"/>
      <c r="B75" s="72"/>
      <c r="C75" s="72"/>
      <c r="D75" s="72"/>
      <c r="E75" s="72"/>
      <c r="F75" s="72"/>
      <c r="G75" s="72"/>
      <c r="H75" s="72"/>
      <c r="I75" s="72"/>
      <c r="J75" s="72"/>
    </row>
    <row r="76" spans="1:10" ht="18.75" x14ac:dyDescent="0.3">
      <c r="A76" s="72"/>
      <c r="B76" s="72"/>
      <c r="C76" s="72"/>
      <c r="D76" s="72"/>
      <c r="E76" s="72"/>
      <c r="F76" s="72"/>
      <c r="G76" s="72"/>
      <c r="H76" s="72"/>
      <c r="I76" s="72"/>
      <c r="J76" s="72"/>
    </row>
    <row r="77" spans="1:10" ht="18.75" x14ac:dyDescent="0.3">
      <c r="A77" s="72"/>
      <c r="B77" s="72"/>
      <c r="C77" s="72"/>
      <c r="D77" s="72"/>
      <c r="E77" s="72"/>
      <c r="F77" s="72"/>
      <c r="G77" s="72"/>
      <c r="H77" s="72"/>
      <c r="I77" s="72"/>
      <c r="J77" s="72"/>
    </row>
    <row r="78" spans="1:10" ht="18.75" x14ac:dyDescent="0.3">
      <c r="A78" s="72"/>
      <c r="B78" s="72"/>
      <c r="C78" s="72"/>
      <c r="D78" s="72"/>
      <c r="E78" s="72"/>
      <c r="F78" s="72"/>
      <c r="G78" s="72"/>
      <c r="H78" s="72"/>
      <c r="I78" s="72"/>
      <c r="J78" s="72"/>
    </row>
    <row r="79" spans="1:10" ht="18.75" x14ac:dyDescent="0.3">
      <c r="A79" s="72"/>
      <c r="B79" s="72"/>
      <c r="C79" s="72"/>
      <c r="D79" s="72"/>
      <c r="E79" s="72"/>
      <c r="F79" s="72"/>
      <c r="G79" s="72"/>
      <c r="H79" s="72"/>
      <c r="I79" s="72"/>
      <c r="J79" s="72"/>
    </row>
    <row r="80" spans="1:10" ht="18.75" x14ac:dyDescent="0.3">
      <c r="A80" s="72"/>
      <c r="B80" s="72"/>
      <c r="C80" s="72"/>
      <c r="D80" s="72"/>
      <c r="E80" s="72"/>
      <c r="F80" s="72"/>
      <c r="G80" s="72"/>
      <c r="H80" s="72"/>
      <c r="I80" s="72"/>
      <c r="J80" s="72"/>
    </row>
    <row r="81" spans="1:10" ht="18.75" x14ac:dyDescent="0.3">
      <c r="A81" s="72"/>
      <c r="B81" s="72"/>
      <c r="C81" s="72"/>
      <c r="D81" s="72"/>
      <c r="E81" s="72"/>
      <c r="F81" s="72"/>
      <c r="G81" s="72"/>
      <c r="H81" s="72"/>
      <c r="I81" s="72"/>
      <c r="J81" s="72"/>
    </row>
    <row r="82" spans="1:10" ht="18.75" x14ac:dyDescent="0.3">
      <c r="A82" s="72"/>
      <c r="B82" s="72"/>
      <c r="C82" s="72"/>
      <c r="D82" s="72"/>
      <c r="E82" s="72"/>
      <c r="F82" s="72"/>
      <c r="G82" s="72"/>
      <c r="H82" s="72"/>
      <c r="I82" s="72"/>
      <c r="J82" s="72"/>
    </row>
    <row r="83" spans="1:10" ht="18.75" x14ac:dyDescent="0.3">
      <c r="A83" s="72"/>
      <c r="B83" s="72"/>
      <c r="C83" s="72"/>
      <c r="D83" s="72"/>
      <c r="E83" s="72"/>
      <c r="F83" s="72"/>
      <c r="G83" s="72"/>
      <c r="H83" s="72"/>
      <c r="I83" s="72"/>
      <c r="J83" s="72"/>
    </row>
    <row r="84" spans="1:10" ht="18.75" x14ac:dyDescent="0.3">
      <c r="A84" s="72"/>
      <c r="B84" s="72"/>
      <c r="C84" s="72"/>
      <c r="D84" s="72"/>
      <c r="E84" s="72"/>
      <c r="F84" s="72"/>
      <c r="G84" s="72"/>
      <c r="H84" s="72"/>
      <c r="I84" s="72"/>
      <c r="J84" s="72"/>
    </row>
    <row r="85" spans="1:10" ht="18.75" x14ac:dyDescent="0.3">
      <c r="A85" s="72"/>
      <c r="B85" s="72"/>
      <c r="C85" s="72"/>
      <c r="D85" s="72"/>
      <c r="E85" s="72"/>
      <c r="F85" s="72"/>
      <c r="G85" s="72"/>
      <c r="H85" s="72"/>
      <c r="I85" s="72"/>
      <c r="J85" s="72"/>
    </row>
    <row r="86" spans="1:10" ht="18.75" x14ac:dyDescent="0.3">
      <c r="A86" s="72"/>
      <c r="B86" s="72"/>
      <c r="C86" s="72"/>
      <c r="D86" s="72"/>
      <c r="E86" s="72"/>
      <c r="F86" s="72"/>
      <c r="G86" s="72"/>
      <c r="H86" s="72"/>
      <c r="I86" s="72"/>
      <c r="J86" s="72"/>
    </row>
    <row r="87" spans="1:10" ht="18.75" x14ac:dyDescent="0.3">
      <c r="A87" s="72"/>
      <c r="B87" s="72"/>
      <c r="C87" s="72"/>
      <c r="D87" s="72"/>
      <c r="E87" s="72"/>
      <c r="F87" s="72"/>
      <c r="G87" s="72"/>
      <c r="H87" s="72"/>
      <c r="I87" s="72"/>
      <c r="J87" s="72"/>
    </row>
    <row r="88" spans="1:10" ht="18.75" x14ac:dyDescent="0.3">
      <c r="A88" s="72"/>
      <c r="B88" s="72"/>
      <c r="C88" s="72"/>
      <c r="D88" s="72"/>
      <c r="E88" s="72"/>
      <c r="F88" s="72"/>
      <c r="G88" s="72"/>
      <c r="H88" s="72"/>
      <c r="I88" s="72"/>
      <c r="J88" s="72"/>
    </row>
    <row r="89" spans="1:10" ht="18.75" x14ac:dyDescent="0.3">
      <c r="A89" s="72"/>
      <c r="B89" s="72"/>
      <c r="C89" s="72"/>
      <c r="D89" s="72"/>
      <c r="E89" s="72"/>
      <c r="F89" s="72"/>
      <c r="G89" s="72"/>
      <c r="H89" s="72"/>
      <c r="I89" s="72"/>
      <c r="J89" s="72"/>
    </row>
    <row r="90" spans="1:10" ht="18.75" x14ac:dyDescent="0.3">
      <c r="A90" s="72"/>
      <c r="B90" s="72"/>
      <c r="C90" s="72"/>
      <c r="D90" s="72"/>
      <c r="E90" s="72"/>
      <c r="F90" s="72"/>
      <c r="G90" s="72"/>
      <c r="H90" s="72"/>
      <c r="I90" s="72"/>
      <c r="J90" s="72"/>
    </row>
    <row r="91" spans="1:10" ht="18.75" x14ac:dyDescent="0.3">
      <c r="A91" s="72"/>
      <c r="B91" s="72"/>
      <c r="C91" s="72"/>
      <c r="D91" s="72"/>
      <c r="E91" s="72"/>
      <c r="F91" s="72"/>
      <c r="G91" s="72"/>
      <c r="H91" s="72"/>
      <c r="I91" s="72"/>
      <c r="J91" s="72"/>
    </row>
    <row r="92" spans="1:10" ht="18.75" x14ac:dyDescent="0.3">
      <c r="A92" s="72"/>
      <c r="B92" s="72"/>
      <c r="C92" s="72"/>
      <c r="D92" s="72"/>
      <c r="E92" s="72"/>
      <c r="F92" s="72"/>
      <c r="G92" s="72"/>
      <c r="H92" s="72"/>
      <c r="I92" s="72"/>
      <c r="J92" s="72"/>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K301"/>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3.42578125" style="146"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169" t="s">
        <v>150</v>
      </c>
      <c r="B1" s="4"/>
      <c r="C1" s="4"/>
      <c r="D1" s="4"/>
      <c r="E1" s="4"/>
      <c r="F1" s="4"/>
      <c r="G1" s="4"/>
      <c r="H1" s="4"/>
      <c r="I1" s="4"/>
      <c r="J1" s="4"/>
    </row>
    <row r="2" spans="1:10" ht="15.75" customHeight="1" x14ac:dyDescent="0.25">
      <c r="A2" s="162" t="s">
        <v>29</v>
      </c>
      <c r="B2" s="688"/>
      <c r="C2" s="688"/>
      <c r="D2" s="688"/>
      <c r="E2" s="688"/>
      <c r="F2" s="688"/>
      <c r="G2" s="688"/>
      <c r="H2" s="688"/>
      <c r="I2" s="688"/>
      <c r="J2" s="688"/>
    </row>
    <row r="3" spans="1:10" ht="15.75" customHeight="1" x14ac:dyDescent="0.25">
      <c r="A3" s="160"/>
      <c r="B3" s="286"/>
      <c r="C3" s="286"/>
      <c r="D3" s="286"/>
      <c r="E3" s="286"/>
      <c r="F3" s="286"/>
      <c r="G3" s="286"/>
      <c r="H3" s="286"/>
      <c r="I3" s="286"/>
      <c r="J3" s="286"/>
    </row>
    <row r="4" spans="1:10" ht="15.75" customHeight="1" x14ac:dyDescent="0.2">
      <c r="A4" s="141"/>
      <c r="B4" s="685" t="s">
        <v>0</v>
      </c>
      <c r="C4" s="686"/>
      <c r="D4" s="686"/>
      <c r="E4" s="685" t="s">
        <v>1</v>
      </c>
      <c r="F4" s="686"/>
      <c r="G4" s="686"/>
      <c r="H4" s="685" t="s">
        <v>2</v>
      </c>
      <c r="I4" s="686"/>
      <c r="J4" s="687"/>
    </row>
    <row r="5" spans="1:10" ht="15.75" customHeight="1" x14ac:dyDescent="0.2">
      <c r="A5" s="155"/>
      <c r="B5" s="250" t="s">
        <v>387</v>
      </c>
      <c r="C5" s="250" t="s">
        <v>388</v>
      </c>
      <c r="D5" s="248" t="s">
        <v>3</v>
      </c>
      <c r="E5" s="250" t="s">
        <v>387</v>
      </c>
      <c r="F5" s="250" t="s">
        <v>388</v>
      </c>
      <c r="G5" s="248" t="s">
        <v>3</v>
      </c>
      <c r="H5" s="250" t="s">
        <v>387</v>
      </c>
      <c r="I5" s="250" t="s">
        <v>388</v>
      </c>
      <c r="J5" s="248" t="s">
        <v>3</v>
      </c>
    </row>
    <row r="6" spans="1:10" ht="15.75" customHeight="1" x14ac:dyDescent="0.2">
      <c r="A6" s="421"/>
      <c r="B6" s="15"/>
      <c r="C6" s="15"/>
      <c r="D6" s="16" t="s">
        <v>4</v>
      </c>
      <c r="E6" s="15"/>
      <c r="F6" s="15"/>
      <c r="G6" s="15" t="s">
        <v>4</v>
      </c>
      <c r="H6" s="15"/>
      <c r="I6" s="15"/>
      <c r="J6" s="15" t="s">
        <v>4</v>
      </c>
    </row>
    <row r="7" spans="1:10" s="41" customFormat="1" ht="15.75" customHeight="1" x14ac:dyDescent="0.2">
      <c r="A7" s="14" t="s">
        <v>24</v>
      </c>
      <c r="B7" s="234">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Pensjonsforsikring'!B7+'SHB Liv'!B7+'Silver Pensjonsforsikring AS'!B7+'Sparebank 1'!B7+'Storebrand Livsforsikring'!B7+'Telenor Forsikring'!B7+'Tryg Forsikring'!B7</f>
        <v>3953570.824320944</v>
      </c>
      <c r="C7" s="234">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Pensjonsforsikring'!C7+'SHB Liv'!C7+'Silver Pensjonsforsikring AS'!C7+'Sparebank 1'!C7+'Storebrand Livsforsikring'!C7+'Telenor Forsikring'!C7+'Tryg Forsikring'!C7</f>
        <v>3659327.1385919875</v>
      </c>
      <c r="D7" s="157">
        <f t="shared" ref="D7:D12" si="0">IF(B7=0, "    ---- ", IF(ABS(ROUND(100/B7*C7-100,1))&lt;999,ROUND(100/B7*C7-100,1),IF(ROUND(100/B7*C7-100,1)&gt;999,999,-999)))</f>
        <v>-7.4</v>
      </c>
      <c r="E7" s="234">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Pensjonsforsikring'!F7+'SHB Liv'!F7+'Silver Pensjonsforsikring AS'!F7+'Sparebank 1'!F7+'Storebrand Livsforsikring'!F7+'Telenor Forsikring'!F7+'Tryg Forsikring'!F7</f>
        <v>6724103.9220600007</v>
      </c>
      <c r="F7" s="234">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Pensjonsforsikring'!G7+'SHB Liv'!G7+'Silver Pensjonsforsikring AS'!G7+'Sparebank 1'!G7+'Storebrand Livsforsikring'!G7+'Telenor Forsikring'!G7+'Tryg Forsikring'!G7</f>
        <v>6324119.2612199988</v>
      </c>
      <c r="G7" s="157">
        <f t="shared" ref="G7:G12" si="1">IF(E7=0, "    ---- ", IF(ABS(ROUND(100/E7*F7-100,1))&lt;999,ROUND(100/E7*F7-100,1),IF(ROUND(100/E7*F7-100,1)&gt;999,999,-999)))</f>
        <v>-5.9</v>
      </c>
      <c r="H7" s="274">
        <f t="shared" ref="H7:H12" si="2">B7+E7</f>
        <v>10677674.746380944</v>
      </c>
      <c r="I7" s="275">
        <f t="shared" ref="I7:I12" si="3">C7+F7</f>
        <v>9983446.3998119868</v>
      </c>
      <c r="J7" s="168">
        <f t="shared" ref="J7:J12" si="4">IF(H7=0, "    ---- ", IF(ABS(ROUND(100/H7*I7-100,1))&lt;999,ROUND(100/H7*I7-100,1),IF(ROUND(100/H7*I7-100,1)&gt;999,999,-999)))</f>
        <v>-6.5</v>
      </c>
    </row>
    <row r="8" spans="1:10" ht="15.75" customHeight="1" x14ac:dyDescent="0.2">
      <c r="A8" s="19" t="s">
        <v>26</v>
      </c>
      <c r="B8" s="42">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1949834.9105171417</v>
      </c>
      <c r="C8" s="42">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Liv'!C8+'Silver Pensjonsforsikring AS'!C8+'Sparebank 1'!C8+'Storebrand Livsforsikring'!C8+'Telenor Forsikring'!C8+'Tryg Forsikring'!C8</f>
        <v>1972065.582203371</v>
      </c>
      <c r="D8" s="163">
        <f t="shared" si="0"/>
        <v>1.1000000000000001</v>
      </c>
      <c r="E8" s="185">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Pensjonsforsikring'!F8+'SHB Liv'!F8+'Silver Pensjonsforsikring AS'!F8+'Sparebank 1'!F8+'Storebrand Livsforsikring'!F8+'Telenor Forsikring'!F8+'Tryg Forsikring'!F8</f>
        <v>0</v>
      </c>
      <c r="F8" s="185">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Pensjonsforsikring'!G8+'SHB Liv'!G8+'Silver Pensjonsforsikring AS'!G8+'Sparebank 1'!G8+'Storebrand Livsforsikring'!G8+'Telenor Forsikring'!G8+'Tryg Forsikring'!G8</f>
        <v>0</v>
      </c>
      <c r="G8" s="173"/>
      <c r="H8" s="187">
        <f t="shared" si="2"/>
        <v>1949834.9105171417</v>
      </c>
      <c r="I8" s="188">
        <f t="shared" si="3"/>
        <v>1972065.582203371</v>
      </c>
      <c r="J8" s="168">
        <f t="shared" si="4"/>
        <v>1.1000000000000001</v>
      </c>
    </row>
    <row r="9" spans="1:10" ht="15.75" customHeight="1" x14ac:dyDescent="0.2">
      <c r="A9" s="19" t="s">
        <v>25</v>
      </c>
      <c r="B9" s="42">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962539.7589642175</v>
      </c>
      <c r="C9" s="42">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Liv'!C9+'Silver Pensjonsforsikring AS'!C9+'Sparebank 1'!C9+'Storebrand Livsforsikring'!C9+'Telenor Forsikring'!C9+'Tryg Forsikring'!C9</f>
        <v>897981.83331012353</v>
      </c>
      <c r="D9" s="173">
        <f t="shared" si="0"/>
        <v>-6.7</v>
      </c>
      <c r="E9" s="185">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Pensjonsforsikring'!F9+'SHB Liv'!F9+'Silver Pensjonsforsikring AS'!F9+'Sparebank 1'!F9+'Storebrand Livsforsikring'!F9+'Telenor Forsikring'!F9+'Tryg Forsikring'!F9</f>
        <v>0</v>
      </c>
      <c r="F9" s="185">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Pensjonsforsikring'!G9+'SHB Liv'!G9+'Silver Pensjonsforsikring AS'!G9+'Sparebank 1'!G9+'Storebrand Livsforsikring'!G9+'Telenor Forsikring'!G9+'Tryg Forsikring'!G9</f>
        <v>0</v>
      </c>
      <c r="G9" s="173"/>
      <c r="H9" s="187">
        <f t="shared" si="2"/>
        <v>962539.7589642175</v>
      </c>
      <c r="I9" s="188">
        <f t="shared" si="3"/>
        <v>897981.83331012353</v>
      </c>
      <c r="J9" s="168">
        <f t="shared" si="4"/>
        <v>-6.7</v>
      </c>
    </row>
    <row r="10" spans="1:10" s="41" customFormat="1" ht="15.75" customHeight="1" x14ac:dyDescent="0.2">
      <c r="A10" s="13" t="s">
        <v>398</v>
      </c>
      <c r="B10" s="234">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Pensjonsforsikring'!B10+'SHB Liv'!B10+'Silver Pensjonsforsikring AS'!B10+'Sparebank 1'!B10+'Storebrand Livsforsikring'!B10+'Telenor Forsikring'!B10+'Tryg Forsikring'!B10</f>
        <v>24626581.124609999</v>
      </c>
      <c r="C10" s="234">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Pensjonsforsikring'!C10+'SHB Liv'!C10+'Silver Pensjonsforsikring AS'!C10+'Sparebank 1'!C10+'Storebrand Livsforsikring'!C10+'Telenor Forsikring'!C10+'Tryg Forsikring'!C10</f>
        <v>22483942.564759027</v>
      </c>
      <c r="D10" s="157">
        <f t="shared" si="0"/>
        <v>-8.6999999999999993</v>
      </c>
      <c r="E10" s="234">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Pensjonsforsikring'!F10+'SHB Liv'!F10+'Silver Pensjonsforsikring AS'!F10+'Sparebank 1'!F10+'Storebrand Livsforsikring'!F10+'Telenor Forsikring'!F10+'Tryg Forsikring'!F10</f>
        <v>30427717.177898698</v>
      </c>
      <c r="F10" s="234">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Pensjonsforsikring'!G10+'SHB Liv'!G10+'Silver Pensjonsforsikring AS'!G10+'Sparebank 1'!G10+'Storebrand Livsforsikring'!G10+'Telenor Forsikring'!G10+'Tryg Forsikring'!G10</f>
        <v>39073624.165710099</v>
      </c>
      <c r="G10" s="157">
        <f t="shared" si="1"/>
        <v>28.4</v>
      </c>
      <c r="H10" s="274">
        <f t="shared" si="2"/>
        <v>55054298.302508697</v>
      </c>
      <c r="I10" s="275">
        <f t="shared" si="3"/>
        <v>61557566.730469123</v>
      </c>
      <c r="J10" s="168">
        <f t="shared" si="4"/>
        <v>11.8</v>
      </c>
    </row>
    <row r="11" spans="1:10" s="41" customFormat="1" ht="15.75" customHeight="1" x14ac:dyDescent="0.2">
      <c r="A11" s="13" t="s">
        <v>399</v>
      </c>
      <c r="B11" s="234">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Pensjonsforsikring'!B11+'SHB Liv'!B11+'Silver Pensjonsforsikring AS'!B11+'Sparebank 1'!B11+'Storebrand Livsforsikring'!B11+'Telenor Forsikring'!B11+'Tryg Forsikring'!B11</f>
        <v>63032</v>
      </c>
      <c r="C11" s="234">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Pensjonsforsikring'!C11+'SHB Liv'!C11+'Silver Pensjonsforsikring AS'!C11+'Sparebank 1'!C11+'Storebrand Livsforsikring'!C11+'Telenor Forsikring'!C11+'Tryg Forsikring'!C11</f>
        <v>85448</v>
      </c>
      <c r="D11" s="168">
        <f t="shared" si="0"/>
        <v>35.6</v>
      </c>
      <c r="E11" s="234">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Pensjonsforsikring'!F11+'SHB Liv'!F11+'Silver Pensjonsforsikring AS'!F11+'Sparebank 1'!F11+'Storebrand Livsforsikring'!F11+'Telenor Forsikring'!F11+'Tryg Forsikring'!F11</f>
        <v>295253.58949999994</v>
      </c>
      <c r="F11" s="234">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Pensjonsforsikring'!G11+'SHB Liv'!G11+'Silver Pensjonsforsikring AS'!G11+'Sparebank 1'!G11+'Storebrand Livsforsikring'!G11+'Telenor Forsikring'!G11+'Tryg Forsikring'!G11</f>
        <v>198073.64567</v>
      </c>
      <c r="G11" s="168">
        <f t="shared" si="1"/>
        <v>-32.9</v>
      </c>
      <c r="H11" s="274">
        <f t="shared" si="2"/>
        <v>358285.58949999994</v>
      </c>
      <c r="I11" s="275">
        <f t="shared" si="3"/>
        <v>283521.64567</v>
      </c>
      <c r="J11" s="168">
        <f t="shared" si="4"/>
        <v>-20.9</v>
      </c>
    </row>
    <row r="12" spans="1:10" s="41" customFormat="1" ht="15.75" customHeight="1" x14ac:dyDescent="0.2">
      <c r="A12" s="39" t="s">
        <v>400</v>
      </c>
      <c r="B12" s="273">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Pensjonsforsikring'!B12+'SHB Liv'!B12+'Silver Pensjonsforsikring AS'!B12+'Sparebank 1'!B12+'Storebrand Livsforsikring'!B12+'Telenor Forsikring'!B12+'Tryg Forsikring'!B12</f>
        <v>33791.74</v>
      </c>
      <c r="C12" s="273">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Pensjonsforsikring'!C12+'SHB Liv'!C12+'Silver Pensjonsforsikring AS'!C12+'Sparebank 1'!C12+'Storebrand Livsforsikring'!C12+'Telenor Forsikring'!C12+'Tryg Forsikring'!C12</f>
        <v>27591</v>
      </c>
      <c r="D12" s="167">
        <f t="shared" si="0"/>
        <v>-18.3</v>
      </c>
      <c r="E12" s="273">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Pensjonsforsikring'!F12+'SHB Liv'!F12+'Silver Pensjonsforsikring AS'!F12+'Sparebank 1'!F12+'Storebrand Livsforsikring'!F12+'Telenor Forsikring'!F12+'Tryg Forsikring'!F12</f>
        <v>115857.86216000002</v>
      </c>
      <c r="F12" s="273">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Pensjonsforsikring'!G12+'SHB Liv'!G12+'Silver Pensjonsforsikring AS'!G12+'Sparebank 1'!G12+'Storebrand Livsforsikring'!G12+'Telenor Forsikring'!G12+'Tryg Forsikring'!G12</f>
        <v>99300.534229999903</v>
      </c>
      <c r="G12" s="166">
        <f t="shared" si="1"/>
        <v>-14.3</v>
      </c>
      <c r="H12" s="276">
        <f t="shared" si="2"/>
        <v>149649.60216000001</v>
      </c>
      <c r="I12" s="277">
        <f t="shared" si="3"/>
        <v>126891.5342299999</v>
      </c>
      <c r="J12" s="166">
        <f t="shared" si="4"/>
        <v>-15.2</v>
      </c>
    </row>
    <row r="13" spans="1:10" s="41" customFormat="1" ht="15.75" customHeight="1" x14ac:dyDescent="0.2">
      <c r="A13" s="165"/>
      <c r="B13" s="33"/>
      <c r="C13" s="5"/>
      <c r="D13" s="30"/>
      <c r="E13" s="33"/>
      <c r="F13" s="5"/>
      <c r="G13" s="30"/>
      <c r="H13" s="46"/>
      <c r="I13" s="46"/>
      <c r="J13" s="30"/>
    </row>
    <row r="14" spans="1:10" ht="15.75" customHeight="1" x14ac:dyDescent="0.2">
      <c r="A14" s="150" t="s">
        <v>292</v>
      </c>
    </row>
    <row r="15" spans="1:10" ht="15.75" customHeight="1" x14ac:dyDescent="0.2">
      <c r="E15" s="7"/>
      <c r="F15" s="7"/>
      <c r="G15" s="7"/>
      <c r="H15" s="7"/>
      <c r="I15" s="7"/>
      <c r="J15" s="7"/>
    </row>
    <row r="16" spans="1:10" s="3" customFormat="1" ht="15.75" customHeight="1" x14ac:dyDescent="0.25">
      <c r="A16" s="161"/>
      <c r="C16" s="28"/>
      <c r="D16" s="28"/>
      <c r="E16" s="28"/>
      <c r="F16" s="28"/>
      <c r="G16" s="28"/>
      <c r="H16" s="28"/>
      <c r="I16" s="28"/>
      <c r="J16" s="28"/>
    </row>
    <row r="17" spans="1:11" ht="15.75" customHeight="1" x14ac:dyDescent="0.25">
      <c r="A17" s="144" t="s">
        <v>289</v>
      </c>
      <c r="B17" s="26"/>
      <c r="C17" s="26"/>
      <c r="D17" s="27"/>
      <c r="E17" s="26"/>
      <c r="F17" s="26"/>
      <c r="G17" s="26"/>
      <c r="H17" s="26"/>
      <c r="I17" s="26"/>
      <c r="J17" s="26"/>
    </row>
    <row r="18" spans="1:11" ht="15.75" customHeight="1" x14ac:dyDescent="0.25">
      <c r="B18" s="688"/>
      <c r="C18" s="688"/>
      <c r="D18" s="688"/>
      <c r="E18" s="688"/>
      <c r="F18" s="688"/>
      <c r="G18" s="688"/>
      <c r="H18" s="688"/>
      <c r="I18" s="688"/>
      <c r="J18" s="688"/>
    </row>
    <row r="19" spans="1:11" ht="15.75" customHeight="1" x14ac:dyDescent="0.2">
      <c r="A19" s="141"/>
      <c r="B19" s="685" t="s">
        <v>0</v>
      </c>
      <c r="C19" s="686"/>
      <c r="D19" s="686"/>
      <c r="E19" s="685" t="s">
        <v>1</v>
      </c>
      <c r="F19" s="686"/>
      <c r="G19" s="687"/>
      <c r="H19" s="686" t="s">
        <v>2</v>
      </c>
      <c r="I19" s="686"/>
      <c r="J19" s="687"/>
    </row>
    <row r="20" spans="1:11" ht="15.75" customHeight="1" x14ac:dyDescent="0.2">
      <c r="A20" s="138" t="s">
        <v>5</v>
      </c>
      <c r="B20" s="250" t="s">
        <v>387</v>
      </c>
      <c r="C20" s="250" t="s">
        <v>388</v>
      </c>
      <c r="D20" s="248" t="s">
        <v>3</v>
      </c>
      <c r="E20" s="250" t="s">
        <v>387</v>
      </c>
      <c r="F20" s="250" t="s">
        <v>388</v>
      </c>
      <c r="G20" s="248" t="s">
        <v>3</v>
      </c>
      <c r="H20" s="250" t="s">
        <v>387</v>
      </c>
      <c r="I20" s="250" t="s">
        <v>388</v>
      </c>
      <c r="J20" s="248" t="s">
        <v>3</v>
      </c>
    </row>
    <row r="21" spans="1:11" ht="15.75" customHeight="1" x14ac:dyDescent="0.2">
      <c r="A21" s="418"/>
      <c r="B21" s="15"/>
      <c r="C21" s="15"/>
      <c r="D21" s="16" t="s">
        <v>4</v>
      </c>
      <c r="E21" s="15"/>
      <c r="F21" s="15"/>
      <c r="G21" s="15" t="s">
        <v>4</v>
      </c>
      <c r="H21" s="15"/>
      <c r="I21" s="15"/>
      <c r="J21" s="15" t="s">
        <v>4</v>
      </c>
    </row>
    <row r="22" spans="1:11" s="41" customFormat="1" ht="15.75" customHeight="1" x14ac:dyDescent="0.2">
      <c r="A22" s="14" t="s">
        <v>24</v>
      </c>
      <c r="B22" s="234">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Pensjonsforsikring'!B22+'SHB Liv'!B22+'Silver Pensjonsforsikring AS'!B22+'Sparebank 1'!B22+'Storebrand Livsforsikring'!B22+'Telenor Forsikring'!B22+'Tryg Forsikring'!B22</f>
        <v>1065934.970738736</v>
      </c>
      <c r="C22" s="234">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Pensjonsforsikring'!C22+'SHB Liv'!C22+'Silver Pensjonsforsikring AS'!C22+'Sparebank 1'!C22+'Storebrand Livsforsikring'!C22+'Telenor Forsikring'!C22+'Tryg Forsikring'!C22</f>
        <v>1276825.7121585142</v>
      </c>
      <c r="D22" s="11">
        <f t="shared" ref="D22:D37" si="5">IF(B22=0, "    ---- ", IF(ABS(ROUND(100/B22*C22-100,1))&lt;999,ROUND(100/B22*C22-100,1),IF(ROUND(100/B22*C22-100,1)&gt;999,999,-999)))</f>
        <v>19.8</v>
      </c>
      <c r="E22" s="234">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Pensjonsforsikring'!F22+'SHB Liv'!F22+'Silver Pensjonsforsikring AS'!F22+'Sparebank 1'!F22+'Storebrand Livsforsikring'!F22+'Telenor Forsikring'!F22+'Tryg Forsikring'!F22</f>
        <v>299554.95619025995</v>
      </c>
      <c r="F22" s="297">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Pensjonsforsikring'!G22+'SHB Liv'!G22+'Silver Pensjonsforsikring AS'!G22+'Sparebank 1'!G22+'Storebrand Livsforsikring'!G22+'Telenor Forsikring'!G22+'Tryg Forsikring'!G22</f>
        <v>277737.84161</v>
      </c>
      <c r="G22" s="336">
        <f>IF(E22=0, "    ---- ", IF(ABS(ROUND(100/E22*F22-100,1))&lt;999,ROUND(100/E22*F22-100,1),IF(ROUND(100/E22*F22-100,1)&gt;999,999,-999)))</f>
        <v>-7.3</v>
      </c>
      <c r="H22" s="297">
        <f>SUM(B22,E22)</f>
        <v>1365489.9269289959</v>
      </c>
      <c r="I22" s="234">
        <f t="shared" ref="I22:I37" si="6">SUM(C22,F22)</f>
        <v>1554563.5537685142</v>
      </c>
      <c r="J22" s="22">
        <f t="shared" ref="J22:J37" si="7">IF(H22=0, "    ---- ", IF(ABS(ROUND(100/H22*I22-100,1))&lt;999,ROUND(100/H22*I22-100,1),IF(ROUND(100/H22*I22-100,1)&gt;999,999,-999)))</f>
        <v>13.8</v>
      </c>
    </row>
    <row r="23" spans="1:11" ht="15.75" customHeight="1" x14ac:dyDescent="0.2">
      <c r="A23" s="652" t="s">
        <v>401</v>
      </c>
      <c r="B23" s="185" t="str">
        <f>IF($A$1=4,'ACE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Pensjonsforsikring'!B23+'SHB Liv'!B23+'Silver Pensjonsforsikring AS'!B23+'Sparebank 1'!B23+'Storebrand Livsforsikring'!B23+'Telenor Forsikring'!B23+'Tryg Forsikring'!B23,"")</f>
        <v/>
      </c>
      <c r="C23" s="185" t="str">
        <f>IF($A$1=4,'ACE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Pensjonsforsikring'!C23+'SHB Liv'!C23+'Silver Pensjonsforsikring AS'!C23+'Sparebank 1'!C23+'Storebrand Livsforsikring'!C23+'Telenor Forsikring'!C23+'Tryg Forsikring'!C23,"")</f>
        <v/>
      </c>
      <c r="D23" s="25" t="str">
        <f>IF($A$1=4,IF(B23=0, "    ---- ", IF(ABS(ROUND(100/B23*C23-100,1))&lt;999,ROUND(100/B23*C23-100,1),IF(ROUND(100/B23*C23-100,1)&gt;999,999,-999))),"")</f>
        <v/>
      </c>
      <c r="E23" s="185" t="str">
        <f>IF($A$1=4,'ACE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Pensjonsforsikring'!F23+'SHB Liv'!F23+'Silver Pensjonsforsikring AS'!F23+'Sparebank 1'!F23+'Storebrand Livsforsikring'!F23+'Telenor Forsikring'!F23+'Tryg Forsikring'!F23,"")</f>
        <v/>
      </c>
      <c r="F23" s="185" t="str">
        <f>IF($A$1=4,'ACE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Pensjonsforsikring'!G23+'SHB Liv'!G23+'Silver Pensjonsforsikring AS'!G23+'Sparebank 1'!G23+'Storebrand Livsforsikring'!G23+'Telenor Forsikring'!G23+'Tryg Forsikring'!G23,"")</f>
        <v/>
      </c>
      <c r="G23" s="163" t="str">
        <f>IF($A$1=4,IF(E23=0, "    ---- ", IF(ABS(ROUND(100/E23*F23-100,1))&lt;999,ROUND(100/E23*F23-100,1),IF(ROUND(100/E23*F23-100,1)&gt;999,999,-999))),"")</f>
        <v/>
      </c>
      <c r="H23" s="233">
        <f t="shared" ref="H23:H37" si="8">SUM(B23,E23)</f>
        <v>0</v>
      </c>
      <c r="I23" s="185">
        <f t="shared" si="6"/>
        <v>0</v>
      </c>
      <c r="J23" s="21"/>
    </row>
    <row r="24" spans="1:11" ht="15.75" customHeight="1" x14ac:dyDescent="0.2">
      <c r="A24" s="652" t="s">
        <v>402</v>
      </c>
      <c r="B24" s="185" t="str">
        <f>IF($A$1=4,'ACE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Pensjonsforsikring'!B24+'SHB Liv'!B24+'Silver Pensjonsforsikring AS'!B24+'Sparebank 1'!B24+'Storebrand Livsforsikring'!B24+'Telenor Forsikring'!B24+'Tryg Forsikring'!B24,"")</f>
        <v/>
      </c>
      <c r="C24" s="185" t="str">
        <f>IF($A$1=4,'ACE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Pensjonsforsikring'!C24+'SHB Liv'!C24+'Silver Pensjonsforsikring AS'!C24+'Sparebank 1'!C24+'Storebrand Livsforsikring'!C24+'Telenor Forsikring'!C24+'Tryg Forsikring'!C24,"")</f>
        <v/>
      </c>
      <c r="D24" s="25" t="str">
        <f>IF($A$1=4,IF(B24=0, "    ---- ", IF(ABS(ROUND(100/B24*C24-100,1))&lt;999,ROUND(100/B24*C24-100,1),IF(ROUND(100/B24*C24-100,1)&gt;999,999,-999))),"")</f>
        <v/>
      </c>
      <c r="E24" s="185" t="str">
        <f>IF($A$1=4,'ACE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Pensjonsforsikring'!F24+'SHB Liv'!F24+'Silver Pensjonsforsikring AS'!F24+'Sparebank 1'!F24+'Storebrand Livsforsikring'!F24+'Telenor Forsikring'!F24+'Tryg Forsikring'!F24,"")</f>
        <v/>
      </c>
      <c r="F24" s="185" t="str">
        <f>IF($A$1=4,'ACE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Pensjonsforsikring'!G24+'SHB Liv'!G24+'Silver Pensjonsforsikring AS'!G24+'Sparebank 1'!G24+'Storebrand Livsforsikring'!G24+'Telenor Forsikring'!G24+'Tryg Forsikring'!G24,"")</f>
        <v/>
      </c>
      <c r="G24" s="163" t="str">
        <f>IF($A$1=4,IF(E24=0, "    ---- ", IF(ABS(ROUND(100/E24*F24-100,1))&lt;999,ROUND(100/E24*F24-100,1),IF(ROUND(100/E24*F24-100,1)&gt;999,999,-999))),"")</f>
        <v/>
      </c>
      <c r="H24" s="233">
        <f t="shared" si="8"/>
        <v>0</v>
      </c>
      <c r="I24" s="185">
        <f t="shared" si="6"/>
        <v>0</v>
      </c>
      <c r="J24" s="11"/>
    </row>
    <row r="25" spans="1:11" ht="15.75" customHeight="1" x14ac:dyDescent="0.2">
      <c r="A25" s="652" t="s">
        <v>403</v>
      </c>
      <c r="B25" s="185" t="str">
        <f>IF($A$1=4,'ACE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Pensjonsforsikring'!B25+'SHB Liv'!B25+'Silver Pensjonsforsikring AS'!B25+'Sparebank 1'!B25+'Storebrand Livsforsikring'!B25+'Telenor Forsikring'!B25+'Tryg Forsikring'!B25,"")</f>
        <v/>
      </c>
      <c r="C25" s="185" t="str">
        <f>IF($A$1=4,'ACE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Pensjonsforsikring'!C25+'SHB Liv'!C25+'Silver Pensjonsforsikring AS'!C25+'Sparebank 1'!C25+'Storebrand Livsforsikring'!C25+'Telenor Forsikring'!C25+'Tryg Forsikring'!C25,"")</f>
        <v/>
      </c>
      <c r="D25" s="25" t="str">
        <f>IF($A$1=4,IF(B25=0, "    ---- ", IF(ABS(ROUND(100/B25*C25-100,1))&lt;999,ROUND(100/B25*C25-100,1),IF(ROUND(100/B25*C25-100,1)&gt;999,999,-999))),"")</f>
        <v/>
      </c>
      <c r="E25" s="185" t="str">
        <f>IF($A$1=4,'ACE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Pensjonsforsikring'!F25+'SHB Liv'!F25+'Silver Pensjonsforsikring AS'!F25+'Sparebank 1'!F25+'Storebrand Livsforsikring'!F25+'Telenor Forsikring'!F25+'Tryg Forsikring'!F25,"")</f>
        <v/>
      </c>
      <c r="F25" s="185" t="str">
        <f>IF($A$1=4,'ACE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Pensjonsforsikring'!G25+'SHB Liv'!G25+'Silver Pensjonsforsikring AS'!G25+'Sparebank 1'!G25+'Storebrand Livsforsikring'!G25+'Telenor Forsikring'!G25+'Tryg Forsikring'!G25,"")</f>
        <v/>
      </c>
      <c r="G25" s="163" t="str">
        <f>IF($A$1=4,IF(E25=0, "    ---- ", IF(ABS(ROUND(100/E25*F25-100,1))&lt;999,ROUND(100/E25*F25-100,1),IF(ROUND(100/E25*F25-100,1)&gt;999,999,-999))),"")</f>
        <v/>
      </c>
      <c r="H25" s="233">
        <f t="shared" si="8"/>
        <v>0</v>
      </c>
      <c r="I25" s="185">
        <f t="shared" si="6"/>
        <v>0</v>
      </c>
      <c r="J25" s="25"/>
    </row>
    <row r="26" spans="1:11" ht="15.75" customHeight="1" x14ac:dyDescent="0.2">
      <c r="A26" s="652" t="s">
        <v>11</v>
      </c>
      <c r="B26" s="185" t="str">
        <f>IF($A$1=4,'ACE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Pensjonsforsikring'!B26+'SHB Liv'!B26+'Silver Pensjonsforsikring AS'!B26+'Sparebank 1'!B26+'Storebrand Livsforsikring'!B26+'Telenor Forsikring'!B26+'Tryg Forsikring'!B26,"")</f>
        <v/>
      </c>
      <c r="C26" s="185" t="str">
        <f>IF($A$1=4,'ACE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Pensjonsforsikring'!C26+'SHB Liv'!C26+'Silver Pensjonsforsikring AS'!C26+'Sparebank 1'!C26+'Storebrand Livsforsikring'!C26+'Telenor Forsikring'!C26+'Tryg Forsikring'!C26,"")</f>
        <v/>
      </c>
      <c r="D26" s="25" t="str">
        <f>IF($A$1=4,IF(B26=0, "    ---- ", IF(ABS(ROUND(100/B26*C26-100,1))&lt;999,ROUND(100/B26*C26-100,1),IF(ROUND(100/B26*C26-100,1)&gt;999,999,-999))),"")</f>
        <v/>
      </c>
      <c r="E26" s="185" t="str">
        <f>IF($A$1=4,'ACE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Pensjonsforsikring'!F26+'SHB Liv'!F26+'Silver Pensjonsforsikring AS'!F26+'Sparebank 1'!F26+'Storebrand Livsforsikring'!F26+'Telenor Forsikring'!F26+'Tryg Forsikring'!F26,"")</f>
        <v/>
      </c>
      <c r="F26" s="185" t="str">
        <f>IF($A$1=4,'ACE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Pensjonsforsikring'!G26+'SHB Liv'!G26+'Silver Pensjonsforsikring AS'!G26+'Sparebank 1'!G26+'Storebrand Livsforsikring'!G26+'Telenor Forsikring'!G26+'Tryg Forsikring'!G26,"")</f>
        <v/>
      </c>
      <c r="G26" s="163" t="str">
        <f>IF($A$1=4,IF(E26=0, "    ---- ", IF(ABS(ROUND(100/E26*F26-100,1))&lt;999,ROUND(100/E26*F26-100,1),IF(ROUND(100/E26*F26-100,1)&gt;999,999,-999))),"")</f>
        <v/>
      </c>
      <c r="H26" s="233">
        <f t="shared" si="8"/>
        <v>0</v>
      </c>
      <c r="I26" s="185">
        <f t="shared" si="6"/>
        <v>0</v>
      </c>
      <c r="J26" s="25"/>
    </row>
    <row r="27" spans="1:11" ht="15.75" customHeight="1" x14ac:dyDescent="0.2">
      <c r="A27" s="47" t="s">
        <v>293</v>
      </c>
      <c r="B27" s="42">
        <f>'ACE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Pensjonsforsikring'!B27+'SHB Liv'!B27+'Silver Pensjonsforsikring AS'!B27+'Sparebank 1'!B27+'Storebrand Livsforsikring'!B27+'Telenor Forsikring'!B27+'Tryg Forsikring'!B27</f>
        <v>1209497.242432876</v>
      </c>
      <c r="C27" s="42">
        <f>'ACE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Pensjonsforsikring'!C27+'SHB Liv'!C27+'Silver Pensjonsforsikring AS'!C27+'Sparebank 1'!C27+'Storebrand Livsforsikring'!C27+'Telenor Forsikring'!C27+'Tryg Forsikring'!C27</f>
        <v>1285647.5722781529</v>
      </c>
      <c r="D27" s="21">
        <f t="shared" si="5"/>
        <v>6.3</v>
      </c>
      <c r="E27" s="185">
        <f>'ACE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Pensjonsforsikring'!F27+'SHB Liv'!F27+'Silver Pensjonsforsikring AS'!F27+'Sparebank 1'!F27+'Storebrand Livsforsikring'!F27+'Telenor Forsikring'!F27+'Tryg Forsikring'!F27</f>
        <v>0</v>
      </c>
      <c r="F27" s="185">
        <f>'ACE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Pensjonsforsikring'!G27+'SHB Liv'!G27+'Silver Pensjonsforsikring AS'!G27+'Sparebank 1'!G27+'Storebrand Livsforsikring'!G27+'Telenor Forsikring'!G27+'Tryg Forsikring'!G27</f>
        <v>0</v>
      </c>
      <c r="G27" s="163" t="str">
        <f>IF(E27=0, "    ---- ", IF(ABS(ROUND(100/E27*F27-100,1))&lt;999,ROUND(100/E27*F27-100,1),IF(ROUND(100/E27*F27-100,1)&gt;999,999,-999)))</f>
        <v xml:space="preserve">    ---- </v>
      </c>
      <c r="H27" s="232">
        <f t="shared" si="8"/>
        <v>1209497.242432876</v>
      </c>
      <c r="I27" s="42">
        <f t="shared" si="6"/>
        <v>1285647.5722781529</v>
      </c>
      <c r="J27" s="21">
        <f t="shared" si="7"/>
        <v>6.3</v>
      </c>
      <c r="K27" s="3"/>
    </row>
    <row r="28" spans="1:11" s="403" customFormat="1" ht="15.75" customHeight="1" x14ac:dyDescent="0.2">
      <c r="A28" s="13" t="s">
        <v>398</v>
      </c>
      <c r="B28" s="234">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Pensjonsforsikring'!B28+'SHB Liv'!B28+'Silver Pensjonsforsikring AS'!B28+'Sparebank 1'!B28+'Storebrand Livsforsikring'!B28+'Telenor Forsikring'!B28+'Tryg Forsikring'!B28</f>
        <v>52064065.227430001</v>
      </c>
      <c r="C28" s="234">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Pensjonsforsikring'!C28+'SHB Liv'!C28+'Silver Pensjonsforsikring AS'!C28+'Sparebank 1'!C28+'Storebrand Livsforsikring'!C28+'Telenor Forsikring'!C28+'Tryg Forsikring'!C28</f>
        <v>51107305.404628068</v>
      </c>
      <c r="D28" s="22">
        <f t="shared" si="5"/>
        <v>-1.8</v>
      </c>
      <c r="E28" s="297">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Pensjonsforsikring'!F28+'SHB Liv'!F28+'Silver Pensjonsforsikring AS'!F28+'Sparebank 1'!F28+'Storebrand Livsforsikring'!F28+'Telenor Forsikring'!F28+'Tryg Forsikring'!F28</f>
        <v>18742269.135259997</v>
      </c>
      <c r="F28" s="297">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Pensjonsforsikring'!G28+'SHB Liv'!G28+'Silver Pensjonsforsikring AS'!G28+'Sparebank 1'!G28+'Storebrand Livsforsikring'!G28+'Telenor Forsikring'!G28+'Tryg Forsikring'!G28</f>
        <v>19537815.335500002</v>
      </c>
      <c r="G28" s="168">
        <f>IF(E28=0, "    ---- ", IF(ABS(ROUND(100/E28*F28-100,1))&lt;999,ROUND(100/E28*F28-100,1),IF(ROUND(100/E28*F28-100,1)&gt;999,999,-999)))</f>
        <v>4.2</v>
      </c>
      <c r="H28" s="297">
        <f t="shared" si="8"/>
        <v>70806334.362690002</v>
      </c>
      <c r="I28" s="234">
        <f t="shared" si="6"/>
        <v>70645120.74012807</v>
      </c>
      <c r="J28" s="22">
        <f t="shared" si="7"/>
        <v>-0.2</v>
      </c>
    </row>
    <row r="29" spans="1:11" s="3" customFormat="1" ht="15.75" customHeight="1" x14ac:dyDescent="0.2">
      <c r="A29" s="652" t="s">
        <v>401</v>
      </c>
      <c r="B29" s="185" t="str">
        <f>IF($A$1=4,'ACE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Pensjonsforsikring'!B29+'SHB Liv'!B29+'Silver Pensjonsforsikring AS'!B29+'Sparebank 1'!B29+'Storebrand Livsforsikring'!B29+'Telenor Forsikring'!B29+'Tryg Forsikring'!B29,"")</f>
        <v/>
      </c>
      <c r="C29" s="185" t="str">
        <f>IF($A$1=4,'ACE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Pensjonsforsikring'!C29+'SHB Liv'!C29+'Silver Pensjonsforsikring AS'!C29+'Sparebank 1'!C29+'Storebrand Livsforsikring'!C29+'Telenor Forsikring'!C29+'Tryg Forsikring'!C29,"")</f>
        <v/>
      </c>
      <c r="D29" s="25" t="str">
        <f>IF($A$1=4,IF(B29=0, "    ---- ", IF(ABS(ROUND(100/B29*C29-100,1))&lt;999,ROUND(100/B29*C29-100,1),IF(ROUND(100/B29*C29-100,1)&gt;999,999,-999))),"")</f>
        <v/>
      </c>
      <c r="E29" s="185" t="str">
        <f>IF($A$1=4,'ACE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Pensjonsforsikring'!F29+'SHB Liv'!F29+'Silver Pensjonsforsikring AS'!F29+'Sparebank 1'!F29+'Storebrand Livsforsikring'!F29+'Telenor Forsikring'!F29+'Tryg Forsikring'!F29,"")</f>
        <v/>
      </c>
      <c r="F29" s="185" t="str">
        <f>IF($A$1=4,'ACE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Pensjonsforsikring'!G29+'SHB Liv'!G29+'Silver Pensjonsforsikring AS'!G29+'Sparebank 1'!G29+'Storebrand Livsforsikring'!G29+'Telenor Forsikring'!G29+'Tryg Forsikring'!G29,"")</f>
        <v/>
      </c>
      <c r="G29" s="163" t="str">
        <f>IF($A$1=4,IF(E29=0, "    ---- ", IF(ABS(ROUND(100/E29*F29-100,1))&lt;999,ROUND(100/E29*F29-100,1),IF(ROUND(100/E29*F29-100,1)&gt;999,999,-999))),"")</f>
        <v/>
      </c>
      <c r="H29" s="233">
        <f t="shared" si="8"/>
        <v>0</v>
      </c>
      <c r="I29" s="185">
        <f t="shared" si="6"/>
        <v>0</v>
      </c>
      <c r="J29" s="21"/>
    </row>
    <row r="30" spans="1:11" s="3" customFormat="1" ht="15.75" customHeight="1" x14ac:dyDescent="0.2">
      <c r="A30" s="652" t="s">
        <v>402</v>
      </c>
      <c r="B30" s="185" t="str">
        <f>IF($A$1=4,'ACE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
      </c>
      <c r="C30" s="185" t="str">
        <f>IF($A$1=4,'ACE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Liv'!C30+'Silver Pensjonsforsikring AS'!C30+'Sparebank 1'!C30+'Storebrand Livsforsikring'!C30+'Telenor Forsikring'!C30+'Tryg Forsikring'!C30,"")</f>
        <v/>
      </c>
      <c r="D30" s="25" t="str">
        <f>IF($A$1=4,IF(B30=0, "    ---- ", IF(ABS(ROUND(100/B30*C30-100,1))&lt;999,ROUND(100/B30*C30-100,1),IF(ROUND(100/B30*C30-100,1)&gt;999,999,-999))),"")</f>
        <v/>
      </c>
      <c r="E30" s="185" t="str">
        <f>IF($A$1=4,'ACE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Pensjonsforsikring'!F30+'SHB Liv'!F30+'Silver Pensjonsforsikring AS'!F30+'Sparebank 1'!F30+'Storebrand Livsforsikring'!F30+'Telenor Forsikring'!F30+'Tryg Forsikring'!F30,"")</f>
        <v/>
      </c>
      <c r="F30" s="185" t="str">
        <f>IF($A$1=4,'ACE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Pensjonsforsikring'!G30+'SHB Liv'!G30+'Silver Pensjonsforsikring AS'!G30+'Sparebank 1'!G30+'Storebrand Livsforsikring'!G30+'Telenor Forsikring'!G30+'Tryg Forsikring'!G30,"")</f>
        <v/>
      </c>
      <c r="G30" s="163" t="str">
        <f>IF($A$1=4,IF(E30=0, "    ---- ", IF(ABS(ROUND(100/E30*F30-100,1))&lt;999,ROUND(100/E30*F30-100,1),IF(ROUND(100/E30*F30-100,1)&gt;999,999,-999))),"")</f>
        <v/>
      </c>
      <c r="H30" s="233">
        <f t="shared" si="8"/>
        <v>0</v>
      </c>
      <c r="I30" s="185">
        <f t="shared" si="6"/>
        <v>0</v>
      </c>
      <c r="J30" s="21"/>
    </row>
    <row r="31" spans="1:11" ht="15.75" customHeight="1" x14ac:dyDescent="0.2">
      <c r="A31" s="652" t="s">
        <v>403</v>
      </c>
      <c r="B31" s="185" t="str">
        <f>IF($A$1=4,'ACE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Pensjonsforsikring'!B31+'SHB Liv'!B31+'Silver Pensjonsforsikring AS'!B31+'Sparebank 1'!B31+'Storebrand Livsforsikring'!B31+'Telenor Forsikring'!B31+'Tryg Forsikring'!B31,"")</f>
        <v/>
      </c>
      <c r="C31" s="185" t="str">
        <f>IF($A$1=4,'ACE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Pensjonsforsikring'!C31+'SHB Liv'!C31+'Silver Pensjonsforsikring AS'!C31+'Sparebank 1'!C31+'Storebrand Livsforsikring'!C31+'Telenor Forsikring'!C31+'Tryg Forsikring'!C31,"")</f>
        <v/>
      </c>
      <c r="D31" s="25" t="str">
        <f>IF($A$1=4,IF(B31=0, "    ---- ", IF(ABS(ROUND(100/B31*C31-100,1))&lt;999,ROUND(100/B31*C31-100,1),IF(ROUND(100/B31*C31-100,1)&gt;999,999,-999))),"")</f>
        <v/>
      </c>
      <c r="E31" s="185" t="str">
        <f>IF($A$1=4,'ACE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Pensjonsforsikring'!F31+'SHB Liv'!F31+'Silver Pensjonsforsikring AS'!F31+'Sparebank 1'!F31+'Storebrand Livsforsikring'!F31+'Telenor Forsikring'!F31+'Tryg Forsikring'!F31,"")</f>
        <v/>
      </c>
      <c r="F31" s="185" t="str">
        <f>IF($A$1=4,'ACE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Pensjonsforsikring'!G31+'SHB Liv'!G31+'Silver Pensjonsforsikring AS'!G31+'Sparebank 1'!G31+'Storebrand Livsforsikring'!G31+'Telenor Forsikring'!G31+'Tryg Forsikring'!G31,"")</f>
        <v/>
      </c>
      <c r="G31" s="163" t="str">
        <f>IF($A$1=4,IF(E31=0, "    ---- ", IF(ABS(ROUND(100/E31*F31-100,1))&lt;999,ROUND(100/E31*F31-100,1),IF(ROUND(100/E31*F31-100,1)&gt;999,999,-999))),"")</f>
        <v/>
      </c>
      <c r="H31" s="233">
        <f t="shared" si="8"/>
        <v>0</v>
      </c>
      <c r="I31" s="185">
        <f t="shared" si="6"/>
        <v>0</v>
      </c>
      <c r="J31" s="22"/>
    </row>
    <row r="32" spans="1:11" s="41" customFormat="1" ht="15.75" customHeight="1" x14ac:dyDescent="0.2">
      <c r="A32" s="13" t="s">
        <v>399</v>
      </c>
      <c r="B32" s="234">
        <f>'ACE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Pensjonsforsikring'!B32+'SHB Liv'!B32+'Silver Pensjonsforsikring AS'!B32+'Sparebank 1'!B32+'Storebrand Livsforsikring'!B32+'Telenor Forsikring'!B32+'Tryg Forsikring'!B32</f>
        <v>33862.731230000005</v>
      </c>
      <c r="C32" s="234">
        <f>'ACE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Pensjonsforsikring'!C32+'SHB Liv'!C32+'Silver Pensjonsforsikring AS'!C32+'Sparebank 1'!C32+'Storebrand Livsforsikring'!C32+'Telenor Forsikring'!C32+'Tryg Forsikring'!C32</f>
        <v>34943.284939999998</v>
      </c>
      <c r="D32" s="22">
        <f t="shared" si="5"/>
        <v>3.2</v>
      </c>
      <c r="E32" s="297">
        <f>'ACE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Pensjonsforsikring'!F32+'SHB Liv'!F32+'Silver Pensjonsforsikring AS'!F32+'Sparebank 1'!F32+'Storebrand Livsforsikring'!F32+'Telenor Forsikring'!F32+'Tryg Forsikring'!F32</f>
        <v>17337.10987</v>
      </c>
      <c r="F32" s="297">
        <f>'ACE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Pensjonsforsikring'!G32+'SHB Liv'!G32+'Silver Pensjonsforsikring AS'!G32+'Sparebank 1'!G32+'Storebrand Livsforsikring'!G32+'Telenor Forsikring'!G32+'Tryg Forsikring'!G32</f>
        <v>7689.927020000001</v>
      </c>
      <c r="G32" s="168">
        <f>IF(E32=0, "    ---- ", IF(ABS(ROUND(100/E32*F32-100,1))&lt;999,ROUND(100/E32*F32-100,1),IF(ROUND(100/E32*F32-100,1)&gt;999,999,-999)))</f>
        <v>-55.6</v>
      </c>
      <c r="H32" s="297">
        <f t="shared" si="8"/>
        <v>51199.841100000005</v>
      </c>
      <c r="I32" s="234">
        <f t="shared" si="6"/>
        <v>42633.211960000001</v>
      </c>
      <c r="J32" s="22">
        <f t="shared" si="7"/>
        <v>-16.7</v>
      </c>
    </row>
    <row r="33" spans="1:10" s="41" customFormat="1" ht="15.75" customHeight="1" x14ac:dyDescent="0.2">
      <c r="A33" s="13" t="s">
        <v>400</v>
      </c>
      <c r="B33" s="234">
        <f>'ACE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Pensjonsforsikring'!B33+'SHB Liv'!B33+'Silver Pensjonsforsikring AS'!B33+'Sparebank 1'!B33+'Storebrand Livsforsikring'!B33+'Telenor Forsikring'!B33+'Tryg Forsikring'!B33</f>
        <v>-57807.580529999999</v>
      </c>
      <c r="C33" s="234">
        <f>'ACE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Pensjonsforsikring'!C33+'SHB Liv'!C33+'Silver Pensjonsforsikring AS'!C33+'Sparebank 1'!C33+'Storebrand Livsforsikring'!C33+'Telenor Forsikring'!C33+'Tryg Forsikring'!C33</f>
        <v>-57344.134640000004</v>
      </c>
      <c r="D33" s="22">
        <f t="shared" si="5"/>
        <v>-0.8</v>
      </c>
      <c r="E33" s="297">
        <f>'ACE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Pensjonsforsikring'!F33+'SHB Liv'!F33+'Silver Pensjonsforsikring AS'!F33+'Sparebank 1'!F33+'Storebrand Livsforsikring'!F33+'Telenor Forsikring'!F33+'Tryg Forsikring'!F33</f>
        <v>76846.332490000001</v>
      </c>
      <c r="F33" s="297">
        <f>'ACE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Pensjonsforsikring'!G33+'SHB Liv'!G33+'Silver Pensjonsforsikring AS'!G33+'Sparebank 1'!G33+'Storebrand Livsforsikring'!G33+'Telenor Forsikring'!G33+'Tryg Forsikring'!G33</f>
        <v>82008.850169999991</v>
      </c>
      <c r="G33" s="168">
        <f>IF(E33=0, "    ---- ", IF(ABS(ROUND(100/E33*F33-100,1))&lt;999,ROUND(100/E33*F33-100,1),IF(ROUND(100/E33*F33-100,1)&gt;999,999,-999)))</f>
        <v>6.7</v>
      </c>
      <c r="H33" s="297">
        <f t="shared" si="8"/>
        <v>19038.751960000001</v>
      </c>
      <c r="I33" s="234">
        <f t="shared" si="6"/>
        <v>24664.715529999987</v>
      </c>
      <c r="J33" s="22">
        <f t="shared" si="7"/>
        <v>29.6</v>
      </c>
    </row>
    <row r="34" spans="1:10" s="41" customFormat="1" ht="15.75" customHeight="1" x14ac:dyDescent="0.2">
      <c r="A34" s="12" t="s">
        <v>301</v>
      </c>
      <c r="B34" s="234">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Pensjonsforsikring'!B34+'SHB Liv'!B34+'Silver Pensjonsforsikring AS'!B34+'Sparebank 1'!B34+'Storebrand Livsforsikring'!B34+'Telenor Forsikring'!B34+'Tryg Forsikring'!B34</f>
        <v>4033.855</v>
      </c>
      <c r="C34" s="234">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Pensjonsforsikring'!C34+'SHB Liv'!C34+'Silver Pensjonsforsikring AS'!C34+'Sparebank 1'!C34+'Storebrand Livsforsikring'!C34+'Telenor Forsikring'!C34+'Tryg Forsikring'!C34</f>
        <v>3154.1660000000002</v>
      </c>
      <c r="D34" s="11">
        <f t="shared" si="5"/>
        <v>-21.8</v>
      </c>
      <c r="E34" s="308">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Pensjonsforsikring'!F34+'SHB Liv'!F34+'Silver Pensjonsforsikring AS'!F34+'Sparebank 1'!F34+'Storebrand Livsforsikring'!F34+'Telenor Forsikring'!F34+'Tryg Forsikring'!F34</f>
        <v>0</v>
      </c>
      <c r="F34" s="308">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Pensjonsforsikring'!G34+'SHB Liv'!G34+'Silver Pensjonsforsikring AS'!G34+'Sparebank 1'!G34+'Storebrand Livsforsikring'!G34+'Telenor Forsikring'!G34+'Tryg Forsikring'!G34</f>
        <v>0</v>
      </c>
      <c r="G34" s="168" t="str">
        <f>IF($A$1=4,IF(E34=0, "    ---- ", IF(ABS(ROUND(100/E34*F34-100,1))&lt;999,ROUND(100/E34*F34-100,1),IF(ROUND(100/E34*F34-100,1)&gt;999,999,-999))),"")</f>
        <v/>
      </c>
      <c r="H34" s="297">
        <f t="shared" si="8"/>
        <v>4033.855</v>
      </c>
      <c r="I34" s="234">
        <f t="shared" si="6"/>
        <v>3154.1660000000002</v>
      </c>
      <c r="J34" s="11">
        <f t="shared" si="7"/>
        <v>-21.8</v>
      </c>
    </row>
    <row r="35" spans="1:10" s="41" customFormat="1" ht="15.75" customHeight="1" x14ac:dyDescent="0.2">
      <c r="A35" s="12" t="s">
        <v>404</v>
      </c>
      <c r="B35" s="234">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Pensjonsforsikring'!B35+'SHB Liv'!B35+'Silver Pensjonsforsikring AS'!B35+'Sparebank 1'!B35+'Storebrand Livsforsikring'!B35+'Telenor Forsikring'!B35+'Tryg Forsikring'!B35</f>
        <v>4193047.889</v>
      </c>
      <c r="C35" s="234">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Pensjonsforsikring'!C35+'SHB Liv'!C35+'Silver Pensjonsforsikring AS'!C35+'Sparebank 1'!C35+'Storebrand Livsforsikring'!C35+'Telenor Forsikring'!C35+'Tryg Forsikring'!C35</f>
        <v>4063235.4939999999</v>
      </c>
      <c r="D35" s="22">
        <f t="shared" si="5"/>
        <v>-3.1</v>
      </c>
      <c r="E35" s="309">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Pensjonsforsikring'!F35+'SHB Liv'!F35+'Silver Pensjonsforsikring AS'!F35+'Sparebank 1'!F35+'Storebrand Livsforsikring'!F35+'Telenor Forsikring'!F35+'Tryg Forsikring'!F35</f>
        <v>0</v>
      </c>
      <c r="F35" s="309">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Pensjonsforsikring'!G35+'SHB Liv'!G35+'Silver Pensjonsforsikring AS'!G35+'Sparebank 1'!G35+'Storebrand Livsforsikring'!G35+'Telenor Forsikring'!G35+'Tryg Forsikring'!G35</f>
        <v>0</v>
      </c>
      <c r="G35" s="168" t="str">
        <f>IF($A$1=4,IF(E35=0, "    ---- ", IF(ABS(ROUND(100/E35*F35-100,1))&lt;999,ROUND(100/E35*F35-100,1),IF(ROUND(100/E35*F35-100,1)&gt;999,999,-999))),"")</f>
        <v/>
      </c>
      <c r="H35" s="297">
        <f t="shared" si="8"/>
        <v>4193047.889</v>
      </c>
      <c r="I35" s="234">
        <f t="shared" si="6"/>
        <v>4063235.4939999999</v>
      </c>
      <c r="J35" s="22">
        <f t="shared" si="7"/>
        <v>-3.1</v>
      </c>
    </row>
    <row r="36" spans="1:10" s="41" customFormat="1" ht="15.75" customHeight="1" x14ac:dyDescent="0.2">
      <c r="A36" s="12" t="s">
        <v>405</v>
      </c>
      <c r="B36" s="234">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Pensjonsforsikring'!B36+'SHB Liv'!B36+'Silver Pensjonsforsikring AS'!B36+'Sparebank 1'!B36+'Storebrand Livsforsikring'!B36+'Telenor Forsikring'!B36+'Tryg Forsikring'!B36</f>
        <v>0</v>
      </c>
      <c r="C36" s="234">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Pensjonsforsikring'!C36+'SHB Liv'!C36+'Silver Pensjonsforsikring AS'!C36+'Sparebank 1'!C36+'Storebrand Livsforsikring'!C36+'Telenor Forsikring'!C36+'Tryg Forsikring'!C36</f>
        <v>0</v>
      </c>
      <c r="D36" s="22"/>
      <c r="E36" s="308">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Pensjonsforsikring'!F36+'SHB Liv'!F36+'Silver Pensjonsforsikring AS'!F36+'Sparebank 1'!F36+'Storebrand Livsforsikring'!F36+'Telenor Forsikring'!F36+'Tryg Forsikring'!F36</f>
        <v>0</v>
      </c>
      <c r="F36" s="310">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Pensjonsforsikring'!G36+'SHB Liv'!G36+'Silver Pensjonsforsikring AS'!G36+'Sparebank 1'!G36+'Storebrand Livsforsikring'!G36+'Telenor Forsikring'!G36+'Tryg Forsikring'!G36</f>
        <v>0</v>
      </c>
      <c r="G36" s="168" t="str">
        <f>IF($A$1=4,IF(E36=0, "    ---- ", IF(ABS(ROUND(100/E36*F36-100,1))&lt;999,ROUND(100/E36*F36-100,1),IF(ROUND(100/E36*F36-100,1)&gt;999,999,-999))),"")</f>
        <v/>
      </c>
      <c r="H36" s="297">
        <f t="shared" si="8"/>
        <v>0</v>
      </c>
      <c r="I36" s="234">
        <f t="shared" si="6"/>
        <v>0</v>
      </c>
      <c r="J36" s="22"/>
    </row>
    <row r="37" spans="1:10" s="41" customFormat="1" ht="15.75" customHeight="1" x14ac:dyDescent="0.2">
      <c r="A37" s="17" t="s">
        <v>406</v>
      </c>
      <c r="B37" s="273">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Pensjonsforsikring'!B37+'SHB Liv'!B37+'Silver Pensjonsforsikring AS'!B37+'Sparebank 1'!B37+'Storebrand Livsforsikring'!B37+'Telenor Forsikring'!B37+'Tryg Forsikring'!B37</f>
        <v>13</v>
      </c>
      <c r="C37" s="273">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Pensjonsforsikring'!C37+'SHB Liv'!C37+'Silver Pensjonsforsikring AS'!C37+'Sparebank 1'!C37+'Storebrand Livsforsikring'!C37+'Telenor Forsikring'!C37+'Tryg Forsikring'!C37</f>
        <v>4</v>
      </c>
      <c r="D37" s="34">
        <f t="shared" si="5"/>
        <v>-69.2</v>
      </c>
      <c r="E37" s="311">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Pensjonsforsikring'!F37+'SHB Liv'!F37+'Silver Pensjonsforsikring AS'!F37+'Sparebank 1'!F37+'Storebrand Livsforsikring'!F37+'Telenor Forsikring'!F37+'Tryg Forsikring'!F37</f>
        <v>0</v>
      </c>
      <c r="F37" s="311">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Pensjonsforsikring'!G37+'SHB Liv'!G37+'Silver Pensjonsforsikring AS'!G37+'Sparebank 1'!G37+'Storebrand Livsforsikring'!G37+'Telenor Forsikring'!G37+'Tryg Forsikring'!G37</f>
        <v>0</v>
      </c>
      <c r="G37" s="166" t="str">
        <f>IF($A$1=4,IF(E37=0, "    ---- ", IF(ABS(ROUND(100/E37*F37-100,1))&lt;999,ROUND(100/E37*F37-100,1),IF(ROUND(100/E37*F37-100,1)&gt;999,999,-999))),"")</f>
        <v/>
      </c>
      <c r="H37" s="303">
        <f t="shared" si="8"/>
        <v>13</v>
      </c>
      <c r="I37" s="273">
        <f t="shared" si="6"/>
        <v>4</v>
      </c>
      <c r="J37" s="34">
        <f t="shared" si="7"/>
        <v>-69.2</v>
      </c>
    </row>
    <row r="38" spans="1:10" ht="15.75" customHeight="1" x14ac:dyDescent="0.2">
      <c r="A38" s="45"/>
    </row>
    <row r="39" spans="1:10" ht="15.75" customHeight="1" x14ac:dyDescent="0.2">
      <c r="A39" s="152"/>
    </row>
    <row r="40" spans="1:10" ht="15.75" customHeight="1" x14ac:dyDescent="0.25">
      <c r="A40" s="144" t="s">
        <v>290</v>
      </c>
      <c r="B40" s="688"/>
      <c r="C40" s="688"/>
      <c r="D40" s="688"/>
      <c r="E40" s="689"/>
      <c r="F40" s="689"/>
      <c r="G40" s="689"/>
      <c r="H40" s="689"/>
      <c r="I40" s="689"/>
      <c r="J40" s="689"/>
    </row>
    <row r="41" spans="1:10" ht="15.75" customHeight="1" x14ac:dyDescent="0.25">
      <c r="A41" s="160"/>
      <c r="B41" s="286"/>
      <c r="C41" s="286"/>
      <c r="D41" s="286"/>
      <c r="E41" s="287"/>
      <c r="F41" s="287"/>
      <c r="G41" s="287"/>
      <c r="H41" s="287"/>
      <c r="I41" s="287"/>
      <c r="J41" s="287"/>
    </row>
    <row r="42" spans="1:10" s="3" customFormat="1" ht="15.75" customHeight="1" x14ac:dyDescent="0.25">
      <c r="A42" s="246"/>
      <c r="B42" s="312" t="s">
        <v>0</v>
      </c>
      <c r="C42" s="313"/>
      <c r="D42" s="251"/>
      <c r="E42" s="40"/>
      <c r="F42" s="40"/>
      <c r="G42" s="38"/>
      <c r="H42" s="40"/>
      <c r="I42" s="40"/>
      <c r="J42" s="38"/>
    </row>
    <row r="43" spans="1:10" s="3" customFormat="1" ht="15.75" customHeight="1" x14ac:dyDescent="0.2">
      <c r="A43" s="138"/>
      <c r="B43" s="250" t="s">
        <v>387</v>
      </c>
      <c r="C43" s="250" t="s">
        <v>388</v>
      </c>
      <c r="D43" s="249" t="s">
        <v>3</v>
      </c>
      <c r="E43" s="40"/>
      <c r="F43" s="40"/>
      <c r="G43" s="38"/>
      <c r="H43" s="40"/>
      <c r="I43" s="40"/>
      <c r="J43" s="38"/>
    </row>
    <row r="44" spans="1:10" s="3" customFormat="1" ht="15.75" customHeight="1" x14ac:dyDescent="0.2">
      <c r="A44" s="418"/>
      <c r="B44" s="15"/>
      <c r="C44" s="15"/>
      <c r="D44" s="16" t="s">
        <v>4</v>
      </c>
      <c r="E44" s="38"/>
      <c r="F44" s="38"/>
      <c r="G44" s="38"/>
      <c r="H44" s="38"/>
      <c r="I44" s="38"/>
      <c r="J44" s="38"/>
    </row>
    <row r="45" spans="1:10" s="403" customFormat="1" ht="15.75" customHeight="1" x14ac:dyDescent="0.2">
      <c r="A45" s="14" t="s">
        <v>24</v>
      </c>
      <c r="B45" s="234">
        <f>'ACE European Group'!B45+'Danica Pensjonsforsikring'!B45+'DNB Livsforsikring'!B45+'Eika Forsikring AS'!B45+'Frende Livsforsikring'!B45+'Frende Skadeforsikring'!B45+'Gjensidige Forsikring'!B45+'Gjensidige Pensjon'!B45+'Handelsbanken Liv'!B45+'If Skadeforsikring NUF'!B45+KLP!B45+'KLP Bedriftspensjon AS'!B45+'KLP Skadeforsikring AS'!B45+'Landbruksforsikring AS'!B45+'NEMI Forsikring'!B45+'Nordea Liv '!B45+'Oslo Pensjonsforsikring'!B45+'SHB Liv'!B45+'Silver Pensjonsforsikring AS'!B45+'Sparebank 1'!B45+'Storebrand Livsforsikring'!B45+'Telenor Forsikring'!B45+'Tryg Forsikring'!B45</f>
        <v>3242229.2983300001</v>
      </c>
      <c r="C45" s="314">
        <f>'ACE European Group'!C45+'Danica Pensjonsforsikring'!C45+'DNB Livsforsikring'!C45+'Eika Forsikring AS'!C45+'Frende Livsforsikring'!C45+'Frende Skadeforsikring'!C45+'Gjensidige Forsikring'!C45+'Gjensidige Pensjon'!C45+'Handelsbanken Liv'!C45+'If Skadeforsikring NUF'!C45+KLP!C45+'KLP Bedriftspensjon AS'!C45+'KLP Skadeforsikring AS'!C45+'Landbruksforsikring AS'!C45+'NEMI Forsikring'!C45+'Nordea Liv '!C45+'Oslo Pensjonsforsikring'!C45+'SHB Liv'!C45+'Silver Pensjonsforsikring AS'!C45+'Sparebank 1'!C45+'Storebrand Livsforsikring'!C45+'Telenor Forsikring'!C45+'Tryg Forsikring'!C45</f>
        <v>3338287.7907300005</v>
      </c>
      <c r="D45" s="22">
        <f t="shared" ref="D45:D56" si="9">IF(B45=0, "    ---- ", IF(ABS(ROUND(100/B45*C45-100,1))&lt;999,ROUND(100/B45*C45-100,1),IF(ROUND(100/B45*C45-100,1)&gt;999,999,-999)))</f>
        <v>3</v>
      </c>
      <c r="E45" s="404"/>
      <c r="F45" s="405"/>
      <c r="G45" s="30"/>
      <c r="H45" s="406"/>
      <c r="I45" s="406"/>
      <c r="J45" s="30"/>
    </row>
    <row r="46" spans="1:10" s="3" customFormat="1" ht="15.75" customHeight="1" x14ac:dyDescent="0.2">
      <c r="A46" s="36" t="s">
        <v>407</v>
      </c>
      <c r="B46" s="42">
        <f>'ACE European Group'!B46+'Danica Pensjonsforsikring'!B46+'DNB Livsforsikring'!B46+'Eika Forsikring AS'!B46+'Frende Livsforsikring'!B46+'Frende Skadeforsikring'!B46+'Gjensidige Forsikring'!B46+'Gjensidige Pensjon'!B46+'Handelsbanken Liv'!B46+'If Skadeforsikring NUF'!B46+KLP!B46+'KLP Bedriftspensjon AS'!B46+'KLP Skadeforsikring AS'!B46+'Landbruksforsikring AS'!B46+'NEMI Forsikring'!B46+'Nordea Liv '!B46+'Oslo Pensjonsforsikring'!B46+'SHB Liv'!B46+'Silver Pensjonsforsikring AS'!B46+'Sparebank 1'!B46+'Storebrand Livsforsikring'!B46+'Telenor Forsikring'!B46+'Tryg Forsikring'!B46</f>
        <v>1834606.6748300001</v>
      </c>
      <c r="C46" s="42">
        <f>'ACE European Group'!C46+'Danica Pensjonsforsikring'!C46+'DNB Livsforsikring'!C46+'Eika Forsikring AS'!C46+'Frende Livsforsikring'!C46+'Frende Skadeforsikring'!C46+'Gjensidige Forsikring'!C46+'Gjensidige Pensjon'!C46+'Handelsbanken Liv'!C46+'If Skadeforsikring NUF'!C46+KLP!C46+'KLP Bedriftspensjon AS'!C46+'KLP Skadeforsikring AS'!C46+'Landbruksforsikring AS'!C46+'NEMI Forsikring'!C46+'Nordea Liv '!C46+'Oslo Pensjonsforsikring'!C46+'SHB Liv'!C46+'Silver Pensjonsforsikring AS'!C46+'Sparebank 1'!C46+'Storebrand Livsforsikring'!C46+'Telenor Forsikring'!C46+'Tryg Forsikring'!C46</f>
        <v>1820086.5708399999</v>
      </c>
      <c r="D46" s="22">
        <f t="shared" si="9"/>
        <v>-0.8</v>
      </c>
      <c r="E46" s="33"/>
      <c r="F46" s="5"/>
      <c r="G46" s="32"/>
      <c r="H46" s="31"/>
      <c r="I46" s="31"/>
      <c r="J46" s="30"/>
    </row>
    <row r="47" spans="1:10" s="3" customFormat="1" ht="15.75" customHeight="1" x14ac:dyDescent="0.2">
      <c r="A47" s="36" t="s">
        <v>408</v>
      </c>
      <c r="B47" s="189">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Pensjonsforsikring'!B47+'SHB Liv'!B47+'Silver Pensjonsforsikring AS'!B47+'Sparebank 1'!B47+'Storebrand Livsforsikring'!B47+'Telenor Forsikring'!B47+'Tryg Forsikring'!B47</f>
        <v>1407622.6235</v>
      </c>
      <c r="C47" s="189">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Pensjonsforsikring'!C47+'SHB Liv'!C47+'Silver Pensjonsforsikring AS'!C47+'Sparebank 1'!C47+'Storebrand Livsforsikring'!C47+'Telenor Forsikring'!C47+'Tryg Forsikring'!C47</f>
        <v>1518201.2198900001</v>
      </c>
      <c r="D47" s="22">
        <f t="shared" si="9"/>
        <v>7.9</v>
      </c>
      <c r="E47" s="33"/>
      <c r="F47" s="5"/>
      <c r="G47" s="32"/>
      <c r="H47" s="35"/>
      <c r="I47" s="35"/>
      <c r="J47" s="30"/>
    </row>
    <row r="48" spans="1:10" s="3" customFormat="1" ht="15.75" customHeight="1" x14ac:dyDescent="0.2">
      <c r="A48" s="652" t="s">
        <v>6</v>
      </c>
      <c r="B48" s="185" t="str">
        <f>IF($A$1=4,'ACE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Pensjonsforsikring'!B48+'SHB Liv'!B48+'Silver Pensjonsforsikring AS'!B48+'Sparebank 1'!B48+'Storebrand Livsforsikring'!B48+'Telenor Forsikring'!B48+'Tryg Forsikring'!B48,"")</f>
        <v/>
      </c>
      <c r="C48" s="185" t="str">
        <f>IF($A$1=4,'ACE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Pensjonsforsikring'!C48+'SHB Liv'!C48+'Silver Pensjonsforsikring AS'!C48+'Sparebank 1'!C48+'Storebrand Livsforsikring'!C48+'Telenor Forsikring'!C48+'Tryg Forsikring'!C48,"")</f>
        <v/>
      </c>
      <c r="D48" s="25" t="str">
        <f>IF($A$1=4,IF(B48=0, "    ---- ", IF(ABS(ROUND(100/B48*C48-100,1))&lt;999,ROUND(100/B48*C48-100,1),IF(ROUND(100/B48*C48-100,1)&gt;999,999,-999))),"")</f>
        <v/>
      </c>
      <c r="E48" s="33"/>
      <c r="F48" s="5"/>
      <c r="G48" s="32"/>
      <c r="H48" s="31"/>
      <c r="I48" s="31"/>
      <c r="J48" s="30"/>
    </row>
    <row r="49" spans="1:10" s="3" customFormat="1" ht="15.75" customHeight="1" x14ac:dyDescent="0.2">
      <c r="A49" s="652" t="s">
        <v>7</v>
      </c>
      <c r="B49" s="185" t="str">
        <f>IF($A$1=4,'ACE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Pensjonsforsikring'!B49+'SHB Liv'!B49+'Silver Pensjonsforsikring AS'!B49+'Sparebank 1'!B49+'Storebrand Livsforsikring'!B49+'Telenor Forsikring'!B49+'Tryg Forsikring'!B49,"")</f>
        <v/>
      </c>
      <c r="C49" s="185" t="str">
        <f>IF($A$1=4,'ACE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Pensjonsforsikring'!C49+'SHB Liv'!C49+'Silver Pensjonsforsikring AS'!C49+'Sparebank 1'!C49+'Storebrand Livsforsikring'!C49+'Telenor Forsikring'!C49+'Tryg Forsikring'!C49,"")</f>
        <v/>
      </c>
      <c r="D49" s="25" t="str">
        <f>IF($A$1=4,IF(B49=0, "    ---- ", IF(ABS(ROUND(100/B49*C49-100,1))&lt;999,ROUND(100/B49*C49-100,1),IF(ROUND(100/B49*C49-100,1)&gt;999,999,-999))),"")</f>
        <v/>
      </c>
      <c r="E49" s="33"/>
      <c r="F49" s="5"/>
      <c r="G49" s="32"/>
      <c r="H49" s="31"/>
      <c r="I49" s="31"/>
      <c r="J49" s="30"/>
    </row>
    <row r="50" spans="1:10" s="3" customFormat="1" ht="15.75" customHeight="1" x14ac:dyDescent="0.2">
      <c r="A50" s="652" t="s">
        <v>8</v>
      </c>
      <c r="B50" s="185" t="str">
        <f>IF($A$1=4,'ACE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AS'!B50+'Landbruksforsikring AS'!B50+'NEMI Forsikring'!B50+'Nordea Liv '!B50+'Oslo Pensjonsforsikring'!B50+'SHB Liv'!B50+'Silver Pensjonsforsikring AS'!B50+'Sparebank 1'!B50+'Storebrand Livsforsikring'!B50+'Telenor Forsikring'!B50+'Tryg Forsikring'!B50,"")</f>
        <v/>
      </c>
      <c r="C50" s="185" t="str">
        <f>IF($A$1=4,'ACE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AS'!C50+'Landbruksforsikring AS'!C50+'NEMI Forsikring'!C50+'Nordea Liv '!C50+'Oslo Pensjonsforsikring'!C50+'SHB Liv'!C50+'Silver Pensjonsforsikring AS'!C50+'Sparebank 1'!C50+'Storebrand Livsforsikring'!C50+'Telenor Forsikring'!C50+'Tryg Forsikring'!C50,"")</f>
        <v/>
      </c>
      <c r="D50" s="25" t="str">
        <f>IF($A$1=4,IF(B50=0, "    ---- ", IF(ABS(ROUND(100/B50*C50-100,1))&lt;999,ROUND(100/B50*C50-100,1),IF(ROUND(100/B50*C50-100,1)&gt;999,999,-999))),"")</f>
        <v/>
      </c>
      <c r="E50" s="33"/>
      <c r="F50" s="5"/>
      <c r="G50" s="32"/>
      <c r="H50" s="31"/>
      <c r="I50" s="31"/>
      <c r="J50" s="30"/>
    </row>
    <row r="51" spans="1:10" s="403" customFormat="1" ht="15.75" customHeight="1" x14ac:dyDescent="0.2">
      <c r="A51" s="37" t="s">
        <v>409</v>
      </c>
      <c r="B51" s="234">
        <f>'ACE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AS'!B51+'Landbruksforsikring AS'!B51+'NEMI Forsikring'!B51+'Nordea Liv '!B51+'Oslo Pensjonsforsikring'!B51+'SHB Liv'!B51+'Silver Pensjonsforsikring AS'!B51+'Sparebank 1'!B51+'Storebrand Livsforsikring'!B51+'Telenor Forsikring'!B51+'Tryg Forsikring'!B51</f>
        <v>134178.15100000001</v>
      </c>
      <c r="C51" s="234">
        <f>'ACE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AS'!C51+'Landbruksforsikring AS'!C51+'NEMI Forsikring'!C51+'Nordea Liv '!C51+'Oslo Pensjonsforsikring'!C51+'SHB Liv'!C51+'Silver Pensjonsforsikring AS'!C51+'Sparebank 1'!C51+'Storebrand Livsforsikring'!C51+'Telenor Forsikring'!C51+'Tryg Forsikring'!C51</f>
        <v>151822.80799999999</v>
      </c>
      <c r="D51" s="22">
        <f t="shared" si="9"/>
        <v>13.2</v>
      </c>
      <c r="E51" s="404"/>
      <c r="F51" s="405"/>
      <c r="G51" s="30"/>
      <c r="H51" s="171"/>
      <c r="I51" s="171"/>
      <c r="J51" s="30"/>
    </row>
    <row r="52" spans="1:10" s="3" customFormat="1" ht="15.75" customHeight="1" x14ac:dyDescent="0.2">
      <c r="A52" s="36" t="s">
        <v>407</v>
      </c>
      <c r="B52" s="42">
        <f>'ACE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AS'!B52+'Landbruksforsikring AS'!B52+'NEMI Forsikring'!B52+'Nordea Liv '!B52+'Oslo Pensjonsforsikring'!B52+'SHB Liv'!B52+'Silver Pensjonsforsikring AS'!B52+'Sparebank 1'!B52+'Storebrand Livsforsikring'!B52+'Telenor Forsikring'!B52+'Tryg Forsikring'!B52</f>
        <v>106419.16</v>
      </c>
      <c r="C52" s="42">
        <f>'ACE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AS'!C52+'Landbruksforsikring AS'!C52+'NEMI Forsikring'!C52+'Nordea Liv '!C52+'Oslo Pensjonsforsikring'!C52+'SHB Liv'!C52+'Silver Pensjonsforsikring AS'!C52+'Sparebank 1'!C52+'Storebrand Livsforsikring'!C52+'Telenor Forsikring'!C52+'Tryg Forsikring'!C52</f>
        <v>94473.90800000001</v>
      </c>
      <c r="D52" s="22">
        <f t="shared" si="9"/>
        <v>-11.2</v>
      </c>
      <c r="E52" s="33"/>
      <c r="F52" s="5"/>
      <c r="G52" s="32"/>
      <c r="H52" s="31"/>
      <c r="I52" s="31"/>
      <c r="J52" s="30"/>
    </row>
    <row r="53" spans="1:10" s="3" customFormat="1" ht="15.75" customHeight="1" x14ac:dyDescent="0.2">
      <c r="A53" s="36" t="s">
        <v>408</v>
      </c>
      <c r="B53" s="42">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Pensjonsforsikring'!B53+'SHB Liv'!B53+'Silver Pensjonsforsikring AS'!B53+'Sparebank 1'!B53+'Storebrand Livsforsikring'!B53+'Telenor Forsikring'!B53+'Tryg Forsikring'!B53</f>
        <v>27758.991000000002</v>
      </c>
      <c r="C53" s="42">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Pensjonsforsikring'!C53+'SHB Liv'!C53+'Silver Pensjonsforsikring AS'!C53+'Sparebank 1'!C53+'Storebrand Livsforsikring'!C53+'Telenor Forsikring'!C53+'Tryg Forsikring'!C53</f>
        <v>57348.9</v>
      </c>
      <c r="D53" s="22">
        <f t="shared" si="9"/>
        <v>106.6</v>
      </c>
      <c r="E53" s="33"/>
      <c r="F53" s="5"/>
      <c r="G53" s="32"/>
      <c r="H53" s="31"/>
      <c r="I53" s="31"/>
      <c r="J53" s="30"/>
    </row>
    <row r="54" spans="1:10" s="403" customFormat="1" ht="15.75" customHeight="1" x14ac:dyDescent="0.2">
      <c r="A54" s="37" t="s">
        <v>410</v>
      </c>
      <c r="B54" s="234">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Liv'!B54+'Silver Pensjonsforsikring AS'!B54+'Sparebank 1'!B54+'Storebrand Livsforsikring'!B54+'Telenor Forsikring'!B54+'Tryg Forsikring'!B54</f>
        <v>117361.62199999999</v>
      </c>
      <c r="C54" s="234">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Liv'!C54+'Silver Pensjonsforsikring AS'!C54+'Sparebank 1'!C54+'Storebrand Livsforsikring'!C54+'Telenor Forsikring'!C54+'Tryg Forsikring'!C54</f>
        <v>112204.745</v>
      </c>
      <c r="D54" s="22">
        <f t="shared" si="9"/>
        <v>-4.4000000000000004</v>
      </c>
      <c r="E54" s="404"/>
      <c r="F54" s="405"/>
      <c r="G54" s="30"/>
      <c r="H54" s="171"/>
      <c r="I54" s="171"/>
      <c r="J54" s="30"/>
    </row>
    <row r="55" spans="1:10" s="3" customFormat="1" ht="15.75" customHeight="1" x14ac:dyDescent="0.2">
      <c r="A55" s="36" t="s">
        <v>407</v>
      </c>
      <c r="B55" s="42">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Liv'!B55+'Silver Pensjonsforsikring AS'!B55+'Sparebank 1'!B55+'Storebrand Livsforsikring'!B55+'Telenor Forsikring'!B55+'Tryg Forsikring'!B55</f>
        <v>117361.62199999999</v>
      </c>
      <c r="C55" s="42">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Pensjonsforsikring'!C55+'SHB Liv'!C55+'Silver Pensjonsforsikring AS'!C55+'Sparebank 1'!C55+'Storebrand Livsforsikring'!C55+'Telenor Forsikring'!C55+'Tryg Forsikring'!C55</f>
        <v>112204.745</v>
      </c>
      <c r="D55" s="22">
        <f t="shared" si="9"/>
        <v>-4.4000000000000004</v>
      </c>
      <c r="E55" s="33"/>
      <c r="F55" s="5"/>
      <c r="G55" s="32"/>
      <c r="H55" s="31"/>
      <c r="I55" s="31"/>
      <c r="J55" s="30"/>
    </row>
    <row r="56" spans="1:10" s="3" customFormat="1" ht="15.75" customHeight="1" x14ac:dyDescent="0.2">
      <c r="A56" s="44" t="s">
        <v>408</v>
      </c>
      <c r="B56" s="43">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Liv'!B56+'Silver Pensjonsforsikring AS'!B56+'Sparebank 1'!B56+'Storebrand Livsforsikring'!B56+'Telenor Forsikring'!B56+'Tryg Forsikring'!B56</f>
        <v>0</v>
      </c>
      <c r="C56" s="43">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Liv'!C56+'Silver Pensjonsforsikring AS'!C56+'Sparebank 1'!C56+'Storebrand Livsforsikring'!C56+'Telenor Forsikring'!C56+'Tryg Forsikring'!C56</f>
        <v>0</v>
      </c>
      <c r="D56" s="34" t="str">
        <f t="shared" si="9"/>
        <v xml:space="preserve">    ---- </v>
      </c>
      <c r="E56" s="33"/>
      <c r="F56" s="5"/>
      <c r="G56" s="32"/>
      <c r="H56" s="31"/>
      <c r="I56" s="31"/>
      <c r="J56" s="30"/>
    </row>
    <row r="57" spans="1:10" s="3" customFormat="1" ht="15.75" customHeight="1" x14ac:dyDescent="0.25">
      <c r="A57" s="161"/>
      <c r="B57" s="28"/>
      <c r="C57" s="28"/>
      <c r="D57" s="28"/>
      <c r="E57" s="29"/>
      <c r="F57" s="29"/>
      <c r="G57" s="29"/>
      <c r="H57" s="29"/>
      <c r="I57" s="29"/>
      <c r="J57" s="29"/>
    </row>
    <row r="58" spans="1:10" ht="15.75" customHeight="1" x14ac:dyDescent="0.2">
      <c r="A58" s="152"/>
    </row>
    <row r="59" spans="1:10" ht="15.75" customHeight="1" x14ac:dyDescent="0.25">
      <c r="A59" s="144" t="s">
        <v>291</v>
      </c>
      <c r="C59" s="24"/>
      <c r="D59" s="23"/>
      <c r="E59" s="24"/>
      <c r="F59" s="24"/>
      <c r="G59" s="23"/>
      <c r="H59" s="24"/>
      <c r="I59" s="24"/>
      <c r="J59" s="23"/>
    </row>
    <row r="60" spans="1:10" ht="20.100000000000001" customHeight="1" x14ac:dyDescent="0.25">
      <c r="B60" s="688"/>
      <c r="C60" s="688"/>
      <c r="D60" s="688"/>
      <c r="E60" s="688"/>
      <c r="F60" s="688"/>
      <c r="G60" s="688"/>
      <c r="H60" s="688"/>
      <c r="I60" s="688"/>
      <c r="J60" s="688"/>
    </row>
    <row r="61" spans="1:10" ht="15.75" customHeight="1" x14ac:dyDescent="0.2">
      <c r="A61" s="141"/>
      <c r="B61" s="685" t="s">
        <v>0</v>
      </c>
      <c r="C61" s="686"/>
      <c r="D61" s="686"/>
      <c r="E61" s="685" t="s">
        <v>1</v>
      </c>
      <c r="F61" s="686"/>
      <c r="G61" s="687"/>
      <c r="H61" s="686" t="s">
        <v>2</v>
      </c>
      <c r="I61" s="686"/>
      <c r="J61" s="687"/>
    </row>
    <row r="62" spans="1:10" ht="15.75" customHeight="1" x14ac:dyDescent="0.2">
      <c r="A62" s="138"/>
      <c r="B62" s="250" t="s">
        <v>387</v>
      </c>
      <c r="C62" s="250" t="s">
        <v>388</v>
      </c>
      <c r="D62" s="18" t="s">
        <v>3</v>
      </c>
      <c r="E62" s="250" t="s">
        <v>387</v>
      </c>
      <c r="F62" s="250" t="s">
        <v>388</v>
      </c>
      <c r="G62" s="18" t="s">
        <v>3</v>
      </c>
      <c r="H62" s="250" t="s">
        <v>387</v>
      </c>
      <c r="I62" s="250" t="s">
        <v>388</v>
      </c>
      <c r="J62" s="18" t="s">
        <v>3</v>
      </c>
    </row>
    <row r="63" spans="1:10" ht="15.75" customHeight="1" x14ac:dyDescent="0.2">
      <c r="A63" s="418"/>
      <c r="B63" s="15"/>
      <c r="C63" s="15"/>
      <c r="D63" s="16" t="s">
        <v>4</v>
      </c>
      <c r="E63" s="15"/>
      <c r="F63" s="15"/>
      <c r="G63" s="15" t="s">
        <v>4</v>
      </c>
      <c r="H63" s="15"/>
      <c r="I63" s="15"/>
      <c r="J63" s="15" t="s">
        <v>4</v>
      </c>
    </row>
    <row r="64" spans="1:10" s="41" customFormat="1" ht="15.75" customHeight="1" x14ac:dyDescent="0.2">
      <c r="A64" s="14" t="s">
        <v>24</v>
      </c>
      <c r="B64" s="315">
        <f>'ACE European Group'!B64+'Danica Pensjonsforsikring'!B64+'DNB Livsforsikring'!B64+'Eika Forsikring AS'!B64+'Frende Livsforsikring'!B64+'Frende Skadeforsikring'!B64+'Gjensidige Forsikring'!B64+'Gjensidige Pensjon'!B64+'Handelsbanken Liv'!B64+'If Skadeforsikring NUF'!B64+KLP!B64+'KLP Bedriftspensjon AS'!B64+'KLP Skadeforsikring AS'!B64+'Landbruksforsikring AS'!B64+'NEMI Forsikring'!B64+'Nordea Liv '!B64+'Oslo Pensjonsforsikring'!B64+'SHB Liv'!B64+'Silver Pensjonsforsikring AS'!B64+'Sparebank 1'!B64+'Storebrand Livsforsikring'!B64+'Telenor Forsikring'!B64+'Tryg Forsikring'!B64</f>
        <v>10229612.916919999</v>
      </c>
      <c r="C64" s="315">
        <f>'ACE European Group'!C64+'Danica Pensjonsforsikring'!C64+'DNB Livsforsikring'!C64+'Eika Forsikring AS'!C64+'Frende Livsforsikring'!C64+'Frende Skadeforsikring'!C64+'Gjensidige Forsikring'!C64+'Gjensidige Pensjon'!C64+'Handelsbanken Liv'!C64+'If Skadeforsikring NUF'!C64+KLP!C64+'KLP Bedriftspensjon AS'!C64+'KLP Skadeforsikring AS'!C64+'Landbruksforsikring AS'!C64+'NEMI Forsikring'!C64+'Nordea Liv '!C64+'Oslo Pensjonsforsikring'!C64+'SHB Liv'!C64+'Silver Pensjonsforsikring AS'!C64+'Sparebank 1'!C64+'Storebrand Livsforsikring'!C64+'Telenor Forsikring'!C64+'Tryg Forsikring'!C64</f>
        <v>6787634.2055699993</v>
      </c>
      <c r="D64" s="22">
        <f>IF(B64=0, "    ---- ", IF(ABS(ROUND(100/B64*C64-100,1))&lt;999,ROUND(100/B64*C64-100,1),IF(ROUND(100/B64*C64-100,1)&gt;999,999,-999)))</f>
        <v>-33.6</v>
      </c>
      <c r="E64" s="234">
        <f>'ACE European Group'!F64+'Danica Pensjonsforsikring'!F64+'DNB Livsforsikring'!F64+'Eika Forsikring AS'!F64+'Frende Livsforsikring'!F64+'Frende Skadeforsikring'!F64+'Gjensidige Forsikring'!F64+'Gjensidige Pensjon'!F64+'Handelsbanken Liv'!F64+'If Skadeforsikring NUF'!F64+KLP!F64+'KLP Bedriftspensjon AS'!F64+'KLP Skadeforsikring AS'!F64+'Landbruksforsikring AS'!F64+'NEMI Forsikring'!F64+'Nordea Liv '!F64+'Oslo Pensjonsforsikring'!F64+'SHB Liv'!F64+'Silver Pensjonsforsikring AS'!F64+'Sparebank 1'!F64+'Storebrand Livsforsikring'!F64+'Telenor Forsikring'!F64+'Tryg Forsikring'!F64</f>
        <v>17062475.715580001</v>
      </c>
      <c r="F64" s="234">
        <f>'ACE European Group'!G64+'Danica Pensjonsforsikring'!G64+'DNB Livsforsikring'!G64+'Eika Forsikring AS'!G64+'Frende Livsforsikring'!G64+'Frende Skadeforsikring'!G64+'Gjensidige Forsikring'!G64+'Gjensidige Pensjon'!G64+'Handelsbanken Liv'!G64+'If Skadeforsikring NUF'!G64+KLP!G64+'KLP Bedriftspensjon AS'!G64+'KLP Skadeforsikring AS'!G64+'Landbruksforsikring AS'!G64+'NEMI Forsikring'!G64+'Nordea Liv '!G64+'Oslo Pensjonsforsikring'!G64+'SHB Liv'!G64+'Silver Pensjonsforsikring AS'!G64+'Sparebank 1'!G64+'Storebrand Livsforsikring'!G64+'Telenor Forsikring'!G64+'Tryg Forsikring'!G64</f>
        <v>19684863.982809998</v>
      </c>
      <c r="G64" s="168">
        <f>IF(E64=0, "    ---- ", IF(ABS(ROUND(100/E64*F64-100,1))&lt;999,ROUND(100/E64*F64-100,1),IF(ROUND(100/E64*F64-100,1)&gt;999,999,-999)))</f>
        <v>15.4</v>
      </c>
      <c r="H64" s="315">
        <f t="shared" ref="H64:H84" si="10">SUM(B64,E64)</f>
        <v>27292088.6325</v>
      </c>
      <c r="I64" s="315">
        <f t="shared" ref="I64:I84" si="11">SUM(C64,F64)</f>
        <v>26472498.188379996</v>
      </c>
      <c r="J64" s="22">
        <f t="shared" ref="J64:J109" si="12">IF(H64=0, "    ---- ", IF(ABS(ROUND(100/H64*I64-100,1))&lt;999,ROUND(100/H64*I64-100,1),IF(ROUND(100/H64*I64-100,1)&gt;999,999,-999)))</f>
        <v>-3</v>
      </c>
    </row>
    <row r="65" spans="1:10" ht="15.75" customHeight="1" x14ac:dyDescent="0.25">
      <c r="A65" s="402" t="s">
        <v>9</v>
      </c>
      <c r="B65" s="232">
        <f>'ACE European Group'!B65+'Danica Pensjonsforsikring'!B65+'DNB Livsforsikring'!B65+'Eika Forsikring AS'!B65+'Frende Livsforsikring'!B65+'Frende Skadeforsikring'!B65+'Gjensidige Forsikring'!B65+'Gjensidige Pensjon'!B65+'Handelsbanken Liv'!B65+'If Skadeforsikring NUF'!B65+KLP!B65+'KLP Bedriftspensjon AS'!B65+'KLP Skadeforsikring AS'!B65+'Landbruksforsikring AS'!B65+'NEMI Forsikring'!B65+'Nordea Liv '!B65+'Oslo Pensjonsforsikring'!B65+'SHB Liv'!B65+'Silver Pensjonsforsikring AS'!B65+'Sparebank 1'!B65+'Storebrand Livsforsikring'!B65+'Telenor Forsikring'!B65+'Tryg Forsikring'!B65</f>
        <v>9924464.8252799995</v>
      </c>
      <c r="C65" s="232">
        <f>'ACE European Group'!C65+'Danica Pensjonsforsikring'!C65+'DNB Livsforsikring'!C65+'Eika Forsikring AS'!C65+'Frende Livsforsikring'!C65+'Frende Skadeforsikring'!C65+'Gjensidige Forsikring'!C65+'Gjensidige Pensjon'!C65+'Handelsbanken Liv'!C65+'If Skadeforsikring NUF'!C65+KLP!C65+'KLP Bedriftspensjon AS'!C65+'KLP Skadeforsikring AS'!C65+'Landbruksforsikring AS'!C65+'NEMI Forsikring'!C65+'Nordea Liv '!C65+'Oslo Pensjonsforsikring'!C65+'SHB Liv'!C65+'Silver Pensjonsforsikring AS'!C65+'Sparebank 1'!C65+'Storebrand Livsforsikring'!C65+'Telenor Forsikring'!C65+'Tryg Forsikring'!C65</f>
        <v>6453304.1577000003</v>
      </c>
      <c r="D65" s="239">
        <f>IF(B65=0, "    ---- ", IF(ABS(ROUND(100/B65*C65-100,1))&lt;999,ROUND(100/B65*C65-100,1),IF(ROUND(100/B65*C65-100,1)&gt;999,999,-999)))</f>
        <v>-35</v>
      </c>
      <c r="E65" s="42">
        <f>'ACE European Group'!F65+'Danica Pensjonsforsikring'!F65+'DNB Livsforsikring'!F65+'Eika Forsikring AS'!F65+'Frende Livsforsikring'!F65+'Frende Skadeforsikring'!F65+'Gjensidige Forsikring'!F65+'Gjensidige Pensjon'!F65+'Handelsbanken Liv'!F65+'If Skadeforsikring NUF'!F65+KLP!F65+'KLP Bedriftspensjon AS'!F65+'KLP Skadeforsikring AS'!F65+'Landbruksforsikring AS'!F65+'NEMI Forsikring'!F65+'Nordea Liv '!F65+'Oslo Pensjonsforsikring'!F65+'SHB Liv'!F65+'Silver Pensjonsforsikring AS'!F65+'Sparebank 1'!F65+'Storebrand Livsforsikring'!F65+'Telenor Forsikring'!F65+'Tryg Forsikring'!F65</f>
        <v>0</v>
      </c>
      <c r="F65" s="42">
        <f>'ACE European Group'!G65+'Danica Pensjonsforsikring'!G65+'DNB Livsforsikring'!G65+'Eika Forsikring AS'!G65+'Frende Livsforsikring'!G65+'Frende Skadeforsikring'!G65+'Gjensidige Forsikring'!G65+'Gjensidige Pensjon'!G65+'Handelsbanken Liv'!G65+'If Skadeforsikring NUF'!G65+KLP!G65+'KLP Bedriftspensjon AS'!G65+'KLP Skadeforsikring AS'!G65+'Landbruksforsikring AS'!G65+'NEMI Forsikring'!G65+'Nordea Liv '!G65+'Oslo Pensjonsforsikring'!G65+'SHB Liv'!G65+'Silver Pensjonsforsikring AS'!G65+'Sparebank 1'!G65+'Storebrand Livsforsikring'!G65+'Telenor Forsikring'!G65+'Tryg Forsikring'!G65</f>
        <v>0</v>
      </c>
      <c r="G65" s="163" t="str">
        <f>IF(E65=0, "    ---- ", IF(ABS(ROUND(100/E65*F65-100,1))&lt;999,ROUND(100/E65*F65-100,1),IF(ROUND(100/E65*F65-100,1)&gt;999,999,-999)))</f>
        <v xml:space="preserve">    ---- </v>
      </c>
      <c r="H65" s="235">
        <f t="shared" si="10"/>
        <v>9924464.8252799995</v>
      </c>
      <c r="I65" s="235">
        <f t="shared" si="11"/>
        <v>6453304.1577000003</v>
      </c>
      <c r="J65" s="21">
        <f t="shared" si="12"/>
        <v>-35</v>
      </c>
    </row>
    <row r="66" spans="1:10" ht="15.75" customHeight="1" x14ac:dyDescent="0.25">
      <c r="A66" s="19" t="s">
        <v>10</v>
      </c>
      <c r="B66" s="232">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Pensjonsforsikring'!B66+'SHB Liv'!B66+'Silver Pensjonsforsikring AS'!B66+'Sparebank 1'!B66+'Storebrand Livsforsikring'!B66+'Telenor Forsikring'!B66+'Tryg Forsikring'!B66</f>
        <v>147955.92223999999</v>
      </c>
      <c r="C66" s="232">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Pensjonsforsikring'!C66+'SHB Liv'!C66+'Silver Pensjonsforsikring AS'!C66+'Sparebank 1'!C66+'Storebrand Livsforsikring'!C66+'Telenor Forsikring'!C66+'Tryg Forsikring'!C66</f>
        <v>137950.46448</v>
      </c>
      <c r="D66" s="239">
        <f>IF(B66=0, "    ---- ", IF(ABS(ROUND(100/B66*C66-100,1))&lt;999,ROUND(100/B66*C66-100,1),IF(ROUND(100/B66*C66-100,1)&gt;999,999,-999)))</f>
        <v>-6.8</v>
      </c>
      <c r="E66" s="42">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Pensjonsforsikring'!F66+'SHB Liv'!F66+'Silver Pensjonsforsikring AS'!F66+'Sparebank 1'!F66+'Storebrand Livsforsikring'!F66+'Telenor Forsikring'!F66+'Tryg Forsikring'!F66</f>
        <v>16908944.702330001</v>
      </c>
      <c r="F66" s="42">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Pensjonsforsikring'!G66+'SHB Liv'!G66+'Silver Pensjonsforsikring AS'!G66+'Sparebank 1'!G66+'Storebrand Livsforsikring'!G66+'Telenor Forsikring'!G66+'Tryg Forsikring'!G66</f>
        <v>19462237.96314</v>
      </c>
      <c r="G66" s="163">
        <f>IF(E66=0, "    ---- ", IF(ABS(ROUND(100/E66*F66-100,1))&lt;999,ROUND(100/E66*F66-100,1),IF(ROUND(100/E66*F66-100,1)&gt;999,999,-999)))</f>
        <v>15.1</v>
      </c>
      <c r="H66" s="235">
        <f t="shared" si="10"/>
        <v>17056900.624570001</v>
      </c>
      <c r="I66" s="235">
        <f t="shared" si="11"/>
        <v>19600188.427620001</v>
      </c>
      <c r="J66" s="21">
        <f t="shared" si="12"/>
        <v>14.9</v>
      </c>
    </row>
    <row r="67" spans="1:10" ht="15.75" customHeight="1" x14ac:dyDescent="0.2">
      <c r="A67" s="652" t="s">
        <v>411</v>
      </c>
      <c r="B67" s="185" t="str">
        <f>IF($A$1=4,'ACE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Pensjonsforsikring'!B67+'SHB Liv'!B67+'Silver Pensjonsforsikring AS'!B67+'Sparebank 1'!B67+'Storebrand Livsforsikring'!B67+'Telenor Forsikring'!B67+'Tryg Forsikring'!B67,"")</f>
        <v/>
      </c>
      <c r="C67" s="185" t="str">
        <f>IF($A$1=4,'ACE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Pensjonsforsikring'!C67+'SHB Liv'!C67+'Silver Pensjonsforsikring AS'!C67+'Sparebank 1'!C67+'Storebrand Livsforsikring'!C67+'Telenor Forsikring'!C67+'Tryg Forsikring'!C67,"")</f>
        <v/>
      </c>
      <c r="D67" s="25" t="str">
        <f t="shared" ref="D67:D72" si="13">IF($A$1=4,IF(B67=0, "    ---- ", IF(ABS(ROUND(100/B67*C67-100,1))&lt;999,ROUND(100/B67*C67-100,1),IF(ROUND(100/B67*C67-100,1)&gt;999,999,-999))),"")</f>
        <v/>
      </c>
      <c r="E67" s="185" t="str">
        <f>IF($A$1=4,'ACE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Pensjonsforsikring'!F67+'SHB Liv'!F67+'Silver Pensjonsforsikring AS'!F67+'Sparebank 1'!F67+'Storebrand Livsforsikring'!F67+'Telenor Forsikring'!F67+'Tryg Forsikring'!F67,"")</f>
        <v/>
      </c>
      <c r="F67" s="185" t="str">
        <f>IF($A$1=4,'ACE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Pensjonsforsikring'!G67+'SHB Liv'!G67+'Silver Pensjonsforsikring AS'!G67+'Sparebank 1'!G67+'Storebrand Livsforsikring'!G67+'Telenor Forsikring'!G67+'Tryg Forsikring'!G67,"")</f>
        <v/>
      </c>
      <c r="G67" s="163" t="str">
        <f t="shared" ref="G67:G72" si="14">IF($A$1=4,IF(E67=0, "    ---- ", IF(ABS(ROUND(100/E67*F67-100,1))&lt;999,ROUND(100/E67*F67-100,1),IF(ROUND(100/E67*F67-100,1)&gt;999,999,-999))),"")</f>
        <v/>
      </c>
      <c r="H67" s="664">
        <f t="shared" si="10"/>
        <v>0</v>
      </c>
      <c r="I67" s="664">
        <f t="shared" si="11"/>
        <v>0</v>
      </c>
      <c r="J67" s="21"/>
    </row>
    <row r="68" spans="1:10" ht="15.75" customHeight="1" x14ac:dyDescent="0.2">
      <c r="A68" s="652" t="s">
        <v>12</v>
      </c>
      <c r="B68" s="233">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Pensjonsforsikring'!B68+'SHB Liv'!B68+'Silver Pensjonsforsikring AS'!B68+'Sparebank 1'!B68+'Storebrand Livsforsikring'!B68+'Telenor Forsikring'!B68+'Tryg Forsikring'!B68</f>
        <v>0</v>
      </c>
      <c r="C68" s="233">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Pensjonsforsikring'!C68+'SHB Liv'!C68+'Silver Pensjonsforsikring AS'!C68+'Sparebank 1'!C68+'Storebrand Livsforsikring'!C68+'Telenor Forsikring'!C68+'Tryg Forsikring'!C68</f>
        <v>0</v>
      </c>
      <c r="D68" s="25" t="str">
        <f t="shared" si="13"/>
        <v/>
      </c>
      <c r="E68" s="185" t="str">
        <f>IF($A$1=4,'ACE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Pensjonsforsikring'!F68+'SHB Liv'!F68+'Silver Pensjonsforsikring AS'!F68+'Sparebank 1'!F68+'Storebrand Livsforsikring'!F68+'Telenor Forsikring'!F68+'Tryg Forsikring'!F68,"")</f>
        <v/>
      </c>
      <c r="F68" s="185" t="str">
        <f>IF($A$1=4,'ACE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Pensjonsforsikring'!G68+'SHB Liv'!G68+'Silver Pensjonsforsikring AS'!G68+'Sparebank 1'!G68+'Storebrand Livsforsikring'!G68+'Telenor Forsikring'!G68+'Tryg Forsikring'!G68,"")</f>
        <v/>
      </c>
      <c r="G68" s="163" t="str">
        <f t="shared" si="14"/>
        <v/>
      </c>
      <c r="H68" s="664">
        <f t="shared" si="10"/>
        <v>0</v>
      </c>
      <c r="I68" s="664">
        <f t="shared" si="11"/>
        <v>0</v>
      </c>
      <c r="J68" s="21"/>
    </row>
    <row r="69" spans="1:10" ht="15.75" customHeight="1" x14ac:dyDescent="0.2">
      <c r="A69" s="652" t="s">
        <v>13</v>
      </c>
      <c r="B69" s="233">
        <f>'ACE European Group'!B69+'Danica Pensjonsforsikring'!B69+'DNB Livsforsikring'!B69+'Eika Forsikring AS'!B69+'Frende Livsforsikring'!B69+'Frende Skadeforsikring'!B69+'Gjensidige Forsikring'!B69+'Gjensidige Pensjon'!B69+'Handelsbanken Liv'!B69+'If Skadeforsikring NUF'!B69+KLP!B69+'KLP Bedriftspensjon AS'!B69+'KLP Skadeforsikring AS'!B69+'Landbruksforsikring AS'!B69+'NEMI Forsikring'!B69+'Nordea Liv '!B69+'Oslo Pensjonsforsikring'!B69+'SHB Liv'!B69+'Silver Pensjonsforsikring AS'!B69+'Sparebank 1'!B69+'Storebrand Livsforsikring'!B69+'Telenor Forsikring'!B69+'Tryg Forsikring'!B69</f>
        <v>0</v>
      </c>
      <c r="C69" s="233">
        <f>'ACE European Group'!C69+'Danica Pensjonsforsikring'!C69+'DNB Livsforsikring'!C69+'Eika Forsikring AS'!C69+'Frende Livsforsikring'!C69+'Frende Skadeforsikring'!C69+'Gjensidige Forsikring'!C69+'Gjensidige Pensjon'!C69+'Handelsbanken Liv'!C69+'If Skadeforsikring NUF'!C69+KLP!C69+'KLP Bedriftspensjon AS'!C69+'KLP Skadeforsikring AS'!C69+'Landbruksforsikring AS'!C69+'NEMI Forsikring'!C69+'Nordea Liv '!C69+'Oslo Pensjonsforsikring'!C69+'SHB Liv'!C69+'Silver Pensjonsforsikring AS'!C69+'Sparebank 1'!C69+'Storebrand Livsforsikring'!C69+'Telenor Forsikring'!C69+'Tryg Forsikring'!C69</f>
        <v>0</v>
      </c>
      <c r="D69" s="25" t="str">
        <f t="shared" si="13"/>
        <v/>
      </c>
      <c r="E69" s="185" t="str">
        <f>IF($A$1=4,'ACE European Group'!F69+'Danica Pensjonsforsikring'!F69+'DNB Livsforsikring'!F69+'Eika Forsikring AS'!F69+'Frende Livsforsikring'!F69+'Frende Skadeforsikring'!F69+'Gjensidige Forsikring'!F69+'Gjensidige Pensjon'!F69+'Handelsbanken Liv'!F69+'If Skadeforsikring NUF'!F69+KLP!F69+'KLP Bedriftspensjon AS'!F69+'KLP Skadeforsikring AS'!F69+'Landbruksforsikring AS'!F69+'NEMI Forsikring'!F69+'Nordea Liv '!F69+'Oslo Pensjonsforsikring'!F69+'SHB Liv'!F69+'Silver Pensjonsforsikring AS'!F69+'Sparebank 1'!F69+'Storebrand Livsforsikring'!F69+'Telenor Forsikring'!F69+'Tryg Forsikring'!F69,"")</f>
        <v/>
      </c>
      <c r="F69" s="185" t="str">
        <f>IF($A$1=4,'ACE European Group'!G69+'Danica Pensjonsforsikring'!G69+'DNB Livsforsikring'!G69+'Eika Forsikring AS'!G69+'Frende Livsforsikring'!G69+'Frende Skadeforsikring'!G69+'Gjensidige Forsikring'!G69+'Gjensidige Pensjon'!G69+'Handelsbanken Liv'!G69+'If Skadeforsikring NUF'!G69+KLP!G69+'KLP Bedriftspensjon AS'!G69+'KLP Skadeforsikring AS'!G69+'Landbruksforsikring AS'!G69+'NEMI Forsikring'!G69+'Nordea Liv '!G69+'Oslo Pensjonsforsikring'!G69+'SHB Liv'!G69+'Silver Pensjonsforsikring AS'!G69+'Sparebank 1'!G69+'Storebrand Livsforsikring'!G69+'Telenor Forsikring'!G69+'Tryg Forsikring'!G69,"")</f>
        <v/>
      </c>
      <c r="G69" s="163" t="str">
        <f t="shared" si="14"/>
        <v/>
      </c>
      <c r="H69" s="664">
        <f t="shared" si="10"/>
        <v>0</v>
      </c>
      <c r="I69" s="664">
        <f t="shared" si="11"/>
        <v>0</v>
      </c>
      <c r="J69" s="21"/>
    </row>
    <row r="70" spans="1:10" ht="15.75" customHeight="1" x14ac:dyDescent="0.2">
      <c r="A70" s="652" t="s">
        <v>412</v>
      </c>
      <c r="B70" s="185" t="str">
        <f>IF($A$1=4,'ACE European Group'!B70+'Danica Pensjonsforsikring'!B70+'DNB Livsforsikring'!B70+'Eika Forsikring AS'!B70+'Frende Livsforsikring'!B70+'Frende Skadeforsikring'!B70+'Gjensidige Forsikring'!B70+'Gjensidige Pensjon'!B70+'Handelsbanken Liv'!B70+'If Skadeforsikring NUF'!B70+KLP!B70+'KLP Bedriftspensjon AS'!B70+'KLP Skadeforsikring AS'!B70+'Landbruksforsikring AS'!B70+'NEMI Forsikring'!B70+'Nordea Liv '!B70+'Oslo Pensjonsforsikring'!B70+'SHB Liv'!B70+'Silver Pensjonsforsikring AS'!B70+'Sparebank 1'!B70+'Storebrand Livsforsikring'!B70+'Telenor Forsikring'!B70+'Tryg Forsikring'!B70,"")</f>
        <v/>
      </c>
      <c r="C70" s="185" t="str">
        <f>IF($A$1=4,'ACE European Group'!C70+'Danica Pensjonsforsikring'!C70+'DNB Livsforsikring'!C70+'Eika Forsikring AS'!C70+'Frende Livsforsikring'!C70+'Frende Skadeforsikring'!C70+'Gjensidige Forsikring'!C70+'Gjensidige Pensjon'!C70+'Handelsbanken Liv'!C70+'If Skadeforsikring NUF'!C70+KLP!C70+'KLP Bedriftspensjon AS'!C70+'KLP Skadeforsikring AS'!C70+'Landbruksforsikring AS'!C70+'NEMI Forsikring'!C70+'Nordea Liv '!C70+'Oslo Pensjonsforsikring'!C70+'SHB Liv'!C70+'Silver Pensjonsforsikring AS'!C70+'Sparebank 1'!C70+'Storebrand Livsforsikring'!C70+'Telenor Forsikring'!C70+'Tryg Forsikring'!C70,"")</f>
        <v/>
      </c>
      <c r="D70" s="25" t="str">
        <f t="shared" si="13"/>
        <v/>
      </c>
      <c r="E70" s="185" t="str">
        <f>IF($A$1=4,'ACE European Group'!F70+'Danica Pensjonsforsikring'!F70+'DNB Livsforsikring'!F70+'Eika Forsikring AS'!F70+'Frende Livsforsikring'!F70+'Frende Skadeforsikring'!F70+'Gjensidige Forsikring'!F70+'Gjensidige Pensjon'!F70+'Handelsbanken Liv'!F70+'If Skadeforsikring NUF'!F70+KLP!F70+'KLP Bedriftspensjon AS'!F70+'KLP Skadeforsikring AS'!F70+'Landbruksforsikring AS'!F70+'NEMI Forsikring'!F70+'Nordea Liv '!F70+'Oslo Pensjonsforsikring'!F70+'SHB Liv'!F70+'Silver Pensjonsforsikring AS'!F70+'Sparebank 1'!F70+'Storebrand Livsforsikring'!F70+'Telenor Forsikring'!F70+'Tryg Forsikring'!F70,"")</f>
        <v/>
      </c>
      <c r="F70" s="185" t="str">
        <f>IF($A$1=4,'ACE European Group'!G70+'Danica Pensjonsforsikring'!G70+'DNB Livsforsikring'!G70+'Eika Forsikring AS'!G70+'Frende Livsforsikring'!G70+'Frende Skadeforsikring'!G70+'Gjensidige Forsikring'!G70+'Gjensidige Pensjon'!G70+'Handelsbanken Liv'!G70+'If Skadeforsikring NUF'!G70+KLP!G70+'KLP Bedriftspensjon AS'!G70+'KLP Skadeforsikring AS'!G70+'Landbruksforsikring AS'!G70+'NEMI Forsikring'!G70+'Nordea Liv '!G70+'Oslo Pensjonsforsikring'!G70+'SHB Liv'!G70+'Silver Pensjonsforsikring AS'!G70+'Sparebank 1'!G70+'Storebrand Livsforsikring'!G70+'Telenor Forsikring'!G70+'Tryg Forsikring'!G70,"")</f>
        <v/>
      </c>
      <c r="G70" s="163" t="str">
        <f t="shared" si="14"/>
        <v/>
      </c>
      <c r="H70" s="664">
        <f t="shared" si="10"/>
        <v>0</v>
      </c>
      <c r="I70" s="664">
        <f t="shared" si="11"/>
        <v>0</v>
      </c>
      <c r="J70" s="22"/>
    </row>
    <row r="71" spans="1:10" ht="15.75" customHeight="1" x14ac:dyDescent="0.2">
      <c r="A71" s="652" t="s">
        <v>12</v>
      </c>
      <c r="B71" s="233">
        <f>'ACE European Group'!B71+'Danica Pensjonsforsikring'!B71+'DNB Livsforsikring'!B71+'Eika Forsikring AS'!B71+'Frende Livsforsikring'!B71+'Frende Skadeforsikring'!B71+'Gjensidige Forsikring'!B71+'Gjensidige Pensjon'!B71+'Handelsbanken Liv'!B71+'If Skadeforsikring NUF'!B71+KLP!B71+'KLP Bedriftspensjon AS'!B71+'KLP Skadeforsikring AS'!B71+'Landbruksforsikring AS'!B71+'NEMI Forsikring'!B71+'Nordea Liv '!B71+'Oslo Pensjonsforsikring'!B71+'SHB Liv'!B71+'Silver Pensjonsforsikring AS'!B71+'Sparebank 1'!B71+'Storebrand Livsforsikring'!B71+'Telenor Forsikring'!B71+'Tryg Forsikring'!B71</f>
        <v>0</v>
      </c>
      <c r="C71" s="233">
        <f>'ACE European Group'!C71+'Danica Pensjonsforsikring'!C71+'DNB Livsforsikring'!C71+'Eika Forsikring AS'!C71+'Frende Livsforsikring'!C71+'Frende Skadeforsikring'!C71+'Gjensidige Forsikring'!C71+'Gjensidige Pensjon'!C71+'Handelsbanken Liv'!C71+'If Skadeforsikring NUF'!C71+KLP!C71+'KLP Bedriftspensjon AS'!C71+'KLP Skadeforsikring AS'!C71+'Landbruksforsikring AS'!C71+'NEMI Forsikring'!C71+'Nordea Liv '!C71+'Oslo Pensjonsforsikring'!C71+'SHB Liv'!C71+'Silver Pensjonsforsikring AS'!C71+'Sparebank 1'!C71+'Storebrand Livsforsikring'!C71+'Telenor Forsikring'!C71+'Tryg Forsikring'!C71</f>
        <v>0</v>
      </c>
      <c r="D71" s="25" t="str">
        <f t="shared" si="13"/>
        <v/>
      </c>
      <c r="E71" s="185" t="str">
        <f>IF($A$1=4,'ACE European Group'!F71+'Danica Pensjonsforsikring'!F71+'DNB Livsforsikring'!F71+'Eika Forsikring AS'!F71+'Frende Livsforsikring'!F71+'Frende Skadeforsikring'!F71+'Gjensidige Forsikring'!F71+'Gjensidige Pensjon'!F71+'Handelsbanken Liv'!F71+'If Skadeforsikring NUF'!F71+KLP!F71+'KLP Bedriftspensjon AS'!F71+'KLP Skadeforsikring AS'!F71+'Landbruksforsikring AS'!F71+'NEMI Forsikring'!F71+'Nordea Liv '!F71+'Oslo Pensjonsforsikring'!F71+'SHB Liv'!F71+'Silver Pensjonsforsikring AS'!F71+'Sparebank 1'!F71+'Storebrand Livsforsikring'!F71+'Telenor Forsikring'!F71+'Tryg Forsikring'!F71,"")</f>
        <v/>
      </c>
      <c r="F71" s="185" t="str">
        <f>IF($A$1=4,'ACE European Group'!G71+'Danica Pensjonsforsikring'!G71+'DNB Livsforsikring'!G71+'Eika Forsikring AS'!G71+'Frende Livsforsikring'!G71+'Frende Skadeforsikring'!G71+'Gjensidige Forsikring'!G71+'Gjensidige Pensjon'!G71+'Handelsbanken Liv'!G71+'If Skadeforsikring NUF'!G71+KLP!G71+'KLP Bedriftspensjon AS'!G71+'KLP Skadeforsikring AS'!G71+'Landbruksforsikring AS'!G71+'NEMI Forsikring'!G71+'Nordea Liv '!G71+'Oslo Pensjonsforsikring'!G71+'SHB Liv'!G71+'Silver Pensjonsforsikring AS'!G71+'Sparebank 1'!G71+'Storebrand Livsforsikring'!G71+'Telenor Forsikring'!G71+'Tryg Forsikring'!G71,"")</f>
        <v/>
      </c>
      <c r="G71" s="163" t="str">
        <f t="shared" si="14"/>
        <v/>
      </c>
      <c r="H71" s="664">
        <f t="shared" si="10"/>
        <v>0</v>
      </c>
      <c r="I71" s="664">
        <f t="shared" si="11"/>
        <v>0</v>
      </c>
      <c r="J71" s="21"/>
    </row>
    <row r="72" spans="1:10" s="3" customFormat="1" ht="15.75" customHeight="1" x14ac:dyDescent="0.2">
      <c r="A72" s="652" t="s">
        <v>13</v>
      </c>
      <c r="B72" s="233">
        <f>'ACE European Group'!B72+'Danica Pensjonsforsikring'!B72+'DNB Livsforsikring'!B72+'Eika Forsikring AS'!B72+'Frende Livsforsikring'!B72+'Frende Skadeforsikring'!B72+'Gjensidige Forsikring'!B72+'Gjensidige Pensjon'!B72+'Handelsbanken Liv'!B72+'If Skadeforsikring NUF'!B72+KLP!B72+'KLP Bedriftspensjon AS'!B72+'KLP Skadeforsikring AS'!B72+'Landbruksforsikring AS'!B72+'NEMI Forsikring'!B72+'Nordea Liv '!B72+'Oslo Pensjonsforsikring'!B72+'SHB Liv'!B72+'Silver Pensjonsforsikring AS'!B72+'Sparebank 1'!B72+'Storebrand Livsforsikring'!B72+'Telenor Forsikring'!B72+'Tryg Forsikring'!B72</f>
        <v>0</v>
      </c>
      <c r="C72" s="233">
        <f>'ACE European Group'!C72+'Danica Pensjonsforsikring'!C72+'DNB Livsforsikring'!C72+'Eika Forsikring AS'!C72+'Frende Livsforsikring'!C72+'Frende Skadeforsikring'!C72+'Gjensidige Forsikring'!C72+'Gjensidige Pensjon'!C72+'Handelsbanken Liv'!C72+'If Skadeforsikring NUF'!C72+KLP!C72+'KLP Bedriftspensjon AS'!C72+'KLP Skadeforsikring AS'!C72+'Landbruksforsikring AS'!C72+'NEMI Forsikring'!C72+'Nordea Liv '!C72+'Oslo Pensjonsforsikring'!C72+'SHB Liv'!C72+'Silver Pensjonsforsikring AS'!C72+'Sparebank 1'!C72+'Storebrand Livsforsikring'!C72+'Telenor Forsikring'!C72+'Tryg Forsikring'!C72</f>
        <v>0</v>
      </c>
      <c r="D72" s="25" t="str">
        <f t="shared" si="13"/>
        <v/>
      </c>
      <c r="E72" s="185" t="str">
        <f>IF($A$1=4,'ACE European Group'!F72+'Danica Pensjonsforsikring'!F72+'DNB Livsforsikring'!F72+'Eika Forsikring AS'!F72+'Frende Livsforsikring'!F72+'Frende Skadeforsikring'!F72+'Gjensidige Forsikring'!F72+'Gjensidige Pensjon'!F72+'Handelsbanken Liv'!F72+'If Skadeforsikring NUF'!F72+KLP!F72+'KLP Bedriftspensjon AS'!F72+'KLP Skadeforsikring AS'!F72+'Landbruksforsikring AS'!F72+'NEMI Forsikring'!F72+'Nordea Liv '!F72+'Oslo Pensjonsforsikring'!F72+'SHB Liv'!F72+'Silver Pensjonsforsikring AS'!F72+'Sparebank 1'!F72+'Storebrand Livsforsikring'!F72+'Telenor Forsikring'!F72+'Tryg Forsikring'!F72,"")</f>
        <v/>
      </c>
      <c r="F72" s="185" t="str">
        <f>IF($A$1=4,'ACE European Group'!G72+'Danica Pensjonsforsikring'!G72+'DNB Livsforsikring'!G72+'Eika Forsikring AS'!G72+'Frende Livsforsikring'!G72+'Frende Skadeforsikring'!G72+'Gjensidige Forsikring'!G72+'Gjensidige Pensjon'!G72+'Handelsbanken Liv'!G72+'If Skadeforsikring NUF'!G72+KLP!G72+'KLP Bedriftspensjon AS'!G72+'KLP Skadeforsikring AS'!G72+'Landbruksforsikring AS'!G72+'NEMI Forsikring'!G72+'Nordea Liv '!G72+'Oslo Pensjonsforsikring'!G72+'SHB Liv'!G72+'Silver Pensjonsforsikring AS'!G72+'Sparebank 1'!G72+'Storebrand Livsforsikring'!G72+'Telenor Forsikring'!G72+'Tryg Forsikring'!G72,"")</f>
        <v/>
      </c>
      <c r="G72" s="163" t="str">
        <f t="shared" si="14"/>
        <v/>
      </c>
      <c r="H72" s="664">
        <f t="shared" si="10"/>
        <v>0</v>
      </c>
      <c r="I72" s="664">
        <f t="shared" si="11"/>
        <v>0</v>
      </c>
      <c r="J72" s="21"/>
    </row>
    <row r="73" spans="1:10" s="3" customFormat="1" ht="15.75" customHeight="1" x14ac:dyDescent="0.2">
      <c r="A73" s="19" t="s">
        <v>370</v>
      </c>
      <c r="B73" s="42">
        <f>'ACE European Group'!B73+'Danica Pensjonsforsikring'!B73+'DNB Livsforsikring'!B73+'Eika Forsikring AS'!B73+'Frende Livsforsikring'!B73+'Frende Skadeforsikring'!B73+'Gjensidige Forsikring'!B73+'Gjensidige Pensjon'!B73+'Handelsbanken Liv'!B73+'If Skadeforsikring NUF'!B73+KLP!B73+'KLP Bedriftspensjon AS'!B73+'KLP Skadeforsikring AS'!B73+'Landbruksforsikring AS'!B73+'NEMI Forsikring'!B73+'Nordea Liv '!B73+'Oslo Pensjonsforsikring'!B73+'SHB Liv'!B73+'Silver Pensjonsforsikring AS'!B73+'Sparebank 1'!B73+'Storebrand Livsforsikring'!B73+'Telenor Forsikring'!B73+'Tryg Forsikring'!B73</f>
        <v>157192.16940000001</v>
      </c>
      <c r="C73" s="42">
        <f>'ACE European Group'!C73+'Danica Pensjonsforsikring'!C73+'DNB Livsforsikring'!C73+'Eika Forsikring AS'!C73+'Frende Livsforsikring'!C73+'Frende Skadeforsikring'!C73+'Gjensidige Forsikring'!C73+'Gjensidige Pensjon'!C73+'Handelsbanken Liv'!C73+'If Skadeforsikring NUF'!C73+KLP!C73+'KLP Bedriftspensjon AS'!C73+'KLP Skadeforsikring AS'!C73+'Landbruksforsikring AS'!C73+'NEMI Forsikring'!C73+'Nordea Liv '!C73+'Oslo Pensjonsforsikring'!C73+'SHB Liv'!C73+'Silver Pensjonsforsikring AS'!C73+'Sparebank 1'!C73+'Storebrand Livsforsikring'!C73+'Telenor Forsikring'!C73+'Tryg Forsikring'!C73</f>
        <v>196379.58338999999</v>
      </c>
      <c r="D73" s="21">
        <f>IF(B73=0, "    ---- ", IF(ABS(ROUND(100/B73*C73-100,1))&lt;999,ROUND(100/B73*C73-100,1),IF(ROUND(100/B73*C73-100,1)&gt;999,999,-999)))</f>
        <v>24.9</v>
      </c>
      <c r="E73" s="42">
        <f>'ACE European Group'!F73+'Danica Pensjonsforsikring'!F73+'DNB Livsforsikring'!F73+'Eika Forsikring AS'!F73+'Frende Livsforsikring'!F73+'Frende Skadeforsikring'!F73+'Gjensidige Forsikring'!F73+'Gjensidige Pensjon'!F73+'Handelsbanken Liv'!F73+'If Skadeforsikring NUF'!F73+KLP!F73+'KLP Bedriftspensjon AS'!F73+'KLP Skadeforsikring AS'!F73+'Landbruksforsikring AS'!F73+'NEMI Forsikring'!F73+'Nordea Liv '!F73+'Oslo Pensjonsforsikring'!F73+'SHB Liv'!F73+'Silver Pensjonsforsikring AS'!F73+'Sparebank 1'!F73+'Storebrand Livsforsikring'!F73+'Telenor Forsikring'!F73+'Tryg Forsikring'!F73</f>
        <v>153531.01324999999</v>
      </c>
      <c r="F73" s="42">
        <f>'ACE European Group'!G73+'Danica Pensjonsforsikring'!G73+'DNB Livsforsikring'!G73+'Eika Forsikring AS'!G73+'Frende Livsforsikring'!G73+'Frende Skadeforsikring'!G73+'Gjensidige Forsikring'!G73+'Gjensidige Pensjon'!G73+'Handelsbanken Liv'!G73+'If Skadeforsikring NUF'!G73+KLP!G73+'KLP Bedriftspensjon AS'!G73+'KLP Skadeforsikring AS'!G73+'Landbruksforsikring AS'!G73+'NEMI Forsikring'!G73+'Nordea Liv '!G73+'Oslo Pensjonsforsikring'!G73+'SHB Liv'!G73+'Silver Pensjonsforsikring AS'!G73+'Sparebank 1'!G73+'Storebrand Livsforsikring'!G73+'Telenor Forsikring'!G73+'Tryg Forsikring'!G73</f>
        <v>222626.01967000001</v>
      </c>
      <c r="G73" s="163">
        <f>IF(E73=0, "    ---- ", IF(ABS(ROUND(100/E73*F73-100,1))&lt;999,ROUND(100/E73*F73-100,1),IF(ROUND(100/E73*F73-100,1)&gt;999,999,-999)))</f>
        <v>45</v>
      </c>
      <c r="H73" s="235">
        <f t="shared" si="10"/>
        <v>310723.18264999997</v>
      </c>
      <c r="I73" s="235">
        <f t="shared" si="11"/>
        <v>419005.60305999999</v>
      </c>
      <c r="J73" s="21">
        <f t="shared" si="12"/>
        <v>34.799999999999997</v>
      </c>
    </row>
    <row r="74" spans="1:10" s="3" customFormat="1" ht="15.75" customHeight="1" x14ac:dyDescent="0.2">
      <c r="A74" s="19" t="s">
        <v>369</v>
      </c>
      <c r="B74" s="42">
        <f>'ACE European Group'!B74+'Danica Pensjonsforsikring'!B74+'DNB Livsforsikring'!B74+'Eika Forsikring AS'!B74+'Frende Livsforsikring'!B74+'Frende Skadeforsikring'!B74+'Gjensidige Forsikring'!B74+'Gjensidige Pensjon'!B74+'Handelsbanken Liv'!B74+'If Skadeforsikring NUF'!B74+KLP!B74+'KLP Bedriftspensjon AS'!B74+'KLP Skadeforsikring AS'!B74+'Landbruksforsikring AS'!B74+'NEMI Forsikring'!B74+'Nordea Liv '!B74+'Oslo Pensjonsforsikring'!B74+'SHB Liv'!B74+'Silver Pensjonsforsikring AS'!B74+'Sparebank 1'!B74+'Storebrand Livsforsikring'!B74+'Telenor Forsikring'!B74+'Tryg Forsikring'!B74</f>
        <v>0</v>
      </c>
      <c r="C74" s="42">
        <f>'ACE European Group'!C74+'Danica Pensjonsforsikring'!C74+'DNB Livsforsikring'!C74+'Eika Forsikring AS'!C74+'Frende Livsforsikring'!C74+'Frende Skadeforsikring'!C74+'Gjensidige Forsikring'!C74+'Gjensidige Pensjon'!C74+'Handelsbanken Liv'!C74+'If Skadeforsikring NUF'!C74+KLP!C74+'KLP Bedriftspensjon AS'!C74+'KLP Skadeforsikring AS'!C74+'Landbruksforsikring AS'!C74+'NEMI Forsikring'!C74+'Nordea Liv '!C74+'Oslo Pensjonsforsikring'!C74+'SHB Liv'!C74+'Silver Pensjonsforsikring AS'!C74+'Sparebank 1'!C74+'Storebrand Livsforsikring'!C74+'Telenor Forsikring'!C74+'Tryg Forsikring'!C74</f>
        <v>1030456.9945199999</v>
      </c>
      <c r="D74" s="21" t="str">
        <f>IF(B74=0, "    ---- ", IF(ABS(ROUND(100/B74*C74-100,1))&lt;999,ROUND(100/B74*C74-100,1),IF(ROUND(100/B74*C74-100,1)&gt;999,999,-999)))</f>
        <v xml:space="preserve">    ---- </v>
      </c>
      <c r="E74" s="42">
        <f>'ACE European Group'!F74+'Danica Pensjonsforsikring'!F74+'DNB Livsforsikring'!F74+'Eika Forsikring AS'!F74+'Frende Livsforsikring'!F74+'Frende Skadeforsikring'!F74+'Gjensidige Forsikring'!F74+'Gjensidige Pensjon'!F74+'Handelsbanken Liv'!F74+'If Skadeforsikring NUF'!F74+KLP!F74+'KLP Bedriftspensjon AS'!F74+'KLP Skadeforsikring AS'!F74+'Landbruksforsikring AS'!F74+'NEMI Forsikring'!F74+'Nordea Liv '!F74+'Oslo Pensjonsforsikring'!F74+'SHB Liv'!F74+'Silver Pensjonsforsikring AS'!F74+'Sparebank 1'!F74+'Storebrand Livsforsikring'!F74+'Telenor Forsikring'!F74+'Tryg Forsikring'!F74</f>
        <v>0</v>
      </c>
      <c r="F74" s="42">
        <f>'ACE European Group'!G74+'Danica Pensjonsforsikring'!G74+'DNB Livsforsikring'!G74+'Eika Forsikring AS'!G74+'Frende Livsforsikring'!G74+'Frende Skadeforsikring'!G74+'Gjensidige Forsikring'!G74+'Gjensidige Pensjon'!G74+'Handelsbanken Liv'!G74+'If Skadeforsikring NUF'!G74+KLP!G74+'KLP Bedriftspensjon AS'!G74+'KLP Skadeforsikring AS'!G74+'Landbruksforsikring AS'!G74+'NEMI Forsikring'!G74+'Nordea Liv '!G74+'Oslo Pensjonsforsikring'!G74+'SHB Liv'!G74+'Silver Pensjonsforsikring AS'!G74+'Sparebank 1'!G74+'Storebrand Livsforsikring'!G74+'Telenor Forsikring'!G74+'Tryg Forsikring'!G74</f>
        <v>0</v>
      </c>
      <c r="G74" s="163" t="str">
        <f>IF(E74=0, "    ---- ", IF(ABS(ROUND(100/E74*F74-100,1))&lt;999,ROUND(100/E74*F74-100,1),IF(ROUND(100/E74*F74-100,1)&gt;999,999,-999)))</f>
        <v xml:space="preserve">    ---- </v>
      </c>
      <c r="H74" s="235">
        <f>SUM(B74,E74)</f>
        <v>0</v>
      </c>
      <c r="I74" s="235">
        <f>SUM(C74,F74)</f>
        <v>1030456.9945199999</v>
      </c>
      <c r="J74" s="21" t="str">
        <f>IF(H74=0, "    ---- ", IF(ABS(ROUND(100/H74*I74-100,1))&lt;999,ROUND(100/H74*I74-100,1),IF(ROUND(100/H74*I74-100,1)&gt;999,999,-999)))</f>
        <v xml:space="preserve">    ---- </v>
      </c>
    </row>
    <row r="75" spans="1:10" ht="15.75" customHeight="1" x14ac:dyDescent="0.2">
      <c r="A75" s="19" t="s">
        <v>413</v>
      </c>
      <c r="B75" s="42">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Pensjonsforsikring'!B75+'SHB Liv'!B75+'Silver Pensjonsforsikring AS'!B75+'Sparebank 1'!B75+'Storebrand Livsforsikring'!B75+'Telenor Forsikring'!B75+'Tryg Forsikring'!B75</f>
        <v>9787898.13552</v>
      </c>
      <c r="C75" s="232">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Pensjonsforsikring'!C75+'SHB Liv'!C75+'Silver Pensjonsforsikring AS'!C75+'Sparebank 1'!C75+'Storebrand Livsforsikring'!C75+'Telenor Forsikring'!C75+'Tryg Forsikring'!C75</f>
        <v>6387380.9991800003</v>
      </c>
      <c r="D75" s="21">
        <f>IF(B75=0, "    ---- ", IF(ABS(ROUND(100/B75*C75-100,1))&lt;999,ROUND(100/B75*C75-100,1),IF(ROUND(100/B75*C75-100,1)&gt;999,999,-999)))</f>
        <v>-34.700000000000003</v>
      </c>
      <c r="E75" s="42">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Pensjonsforsikring'!F75+'SHB Liv'!F75+'Silver Pensjonsforsikring AS'!F75+'Sparebank 1'!F75+'Storebrand Livsforsikring'!F75+'Telenor Forsikring'!F75+'Tryg Forsikring'!F75</f>
        <v>16898249.62328</v>
      </c>
      <c r="F75" s="42">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Pensjonsforsikring'!G75+'SHB Liv'!G75+'Silver Pensjonsforsikring AS'!G75+'Sparebank 1'!G75+'Storebrand Livsforsikring'!G75+'Telenor Forsikring'!G75+'Tryg Forsikring'!G75</f>
        <v>19452523.862829998</v>
      </c>
      <c r="G75" s="163">
        <f>IF(E75=0, "    ---- ", IF(ABS(ROUND(100/E75*F75-100,1))&lt;999,ROUND(100/E75*F75-100,1),IF(ROUND(100/E75*F75-100,1)&gt;999,999,-999)))</f>
        <v>15.1</v>
      </c>
      <c r="H75" s="235">
        <f t="shared" si="10"/>
        <v>26686147.7588</v>
      </c>
      <c r="I75" s="235">
        <f t="shared" si="11"/>
        <v>25839904.862009998</v>
      </c>
      <c r="J75" s="21">
        <f t="shared" si="12"/>
        <v>-3.2</v>
      </c>
    </row>
    <row r="76" spans="1:10" ht="15.75" customHeight="1" x14ac:dyDescent="0.2">
      <c r="A76" s="19" t="s">
        <v>9</v>
      </c>
      <c r="B76" s="42">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Pensjonsforsikring'!B76+'SHB Liv'!B76+'Silver Pensjonsforsikring AS'!B76+'Sparebank 1'!B76+'Storebrand Livsforsikring'!B76+'Telenor Forsikring'!B76+'Tryg Forsikring'!B76</f>
        <v>9642890.9252799992</v>
      </c>
      <c r="C76" s="232">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Pensjonsforsikring'!C76+'SHB Liv'!C76+'Silver Pensjonsforsikring AS'!C76+'Sparebank 1'!C76+'Storebrand Livsforsikring'!C76+'Telenor Forsikring'!C76+'Tryg Forsikring'!C76</f>
        <v>6252548.5447000004</v>
      </c>
      <c r="D76" s="21">
        <f>IF(B76=0, "    ---- ", IF(ABS(ROUND(100/B76*C76-100,1))&lt;999,ROUND(100/B76*C76-100,1),IF(ROUND(100/B76*C76-100,1)&gt;999,999,-999)))</f>
        <v>-35.200000000000003</v>
      </c>
      <c r="E76" s="42">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Pensjonsforsikring'!F76+'SHB Liv'!F76+'Silver Pensjonsforsikring AS'!F76+'Sparebank 1'!F76+'Storebrand Livsforsikring'!F76+'Telenor Forsikring'!F76+'Tryg Forsikring'!F76</f>
        <v>0</v>
      </c>
      <c r="F76" s="42">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Pensjonsforsikring'!G76+'SHB Liv'!G76+'Silver Pensjonsforsikring AS'!G76+'Sparebank 1'!G76+'Storebrand Livsforsikring'!G76+'Telenor Forsikring'!G76+'Tryg Forsikring'!G76</f>
        <v>0</v>
      </c>
      <c r="G76" s="163" t="str">
        <f>IF(E76=0, "    ---- ", IF(ABS(ROUND(100/E76*F76-100,1))&lt;999,ROUND(100/E76*F76-100,1),IF(ROUND(100/E76*F76-100,1)&gt;999,999,-999)))</f>
        <v xml:space="preserve">    ---- </v>
      </c>
      <c r="H76" s="235">
        <f t="shared" si="10"/>
        <v>9642890.9252799992</v>
      </c>
      <c r="I76" s="235">
        <f t="shared" si="11"/>
        <v>6252548.5447000004</v>
      </c>
      <c r="J76" s="21">
        <f t="shared" si="12"/>
        <v>-35.200000000000003</v>
      </c>
    </row>
    <row r="77" spans="1:10" ht="15.75" customHeight="1" x14ac:dyDescent="0.2">
      <c r="A77" s="19" t="s">
        <v>10</v>
      </c>
      <c r="B77" s="42">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Pensjonsforsikring'!B77+'SHB Liv'!B77+'Silver Pensjonsforsikring AS'!B77+'Sparebank 1'!B77+'Storebrand Livsforsikring'!B77+'Telenor Forsikring'!B77+'Tryg Forsikring'!B77</f>
        <v>145007.21023999999</v>
      </c>
      <c r="C77" s="142">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Pensjonsforsikring'!C77+'SHB Liv'!C77+'Silver Pensjonsforsikring AS'!C77+'Sparebank 1'!C77+'Storebrand Livsforsikring'!C77+'Telenor Forsikring'!C77+'Tryg Forsikring'!C77</f>
        <v>134832.45448000001</v>
      </c>
      <c r="D77" s="21">
        <f>IF(B77=0, "    ---- ", IF(ABS(ROUND(100/B77*C77-100,1))&lt;999,ROUND(100/B77*C77-100,1),IF(ROUND(100/B77*C77-100,1)&gt;999,999,-999)))</f>
        <v>-7</v>
      </c>
      <c r="E77" s="42">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Pensjonsforsikring'!F77+'SHB Liv'!F77+'Silver Pensjonsforsikring AS'!F77+'Sparebank 1'!F77+'Storebrand Livsforsikring'!F77+'Telenor Forsikring'!F77+'Tryg Forsikring'!F77</f>
        <v>16898249.62328</v>
      </c>
      <c r="F77" s="42">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Pensjonsforsikring'!G77+'SHB Liv'!G77+'Silver Pensjonsforsikring AS'!G77+'Sparebank 1'!G77+'Storebrand Livsforsikring'!G77+'Telenor Forsikring'!G77+'Tryg Forsikring'!G77</f>
        <v>19452523.862829998</v>
      </c>
      <c r="G77" s="163">
        <f>IF(E77=0, "    ---- ", IF(ABS(ROUND(100/E77*F77-100,1))&lt;999,ROUND(100/E77*F77-100,1),IF(ROUND(100/E77*F77-100,1)&gt;999,999,-999)))</f>
        <v>15.1</v>
      </c>
      <c r="H77" s="235">
        <f t="shared" si="10"/>
        <v>17043256.833519999</v>
      </c>
      <c r="I77" s="235">
        <f t="shared" si="11"/>
        <v>19587356.317309998</v>
      </c>
      <c r="J77" s="21">
        <f t="shared" si="12"/>
        <v>14.9</v>
      </c>
    </row>
    <row r="78" spans="1:10" ht="15.75" customHeight="1" x14ac:dyDescent="0.2">
      <c r="A78" s="652" t="s">
        <v>411</v>
      </c>
      <c r="B78" s="185" t="str">
        <f>IF($A$1=4,'ACE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Pensjonsforsikring'!B78+'SHB Liv'!B78+'Silver Pensjonsforsikring AS'!B78+'Sparebank 1'!B78+'Storebrand Livsforsikring'!B78+'Telenor Forsikring'!B78+'Tryg Forsikring'!B78,"")</f>
        <v/>
      </c>
      <c r="C78" s="185" t="str">
        <f>IF($A$1=4,'ACE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Pensjonsforsikring'!C78+'SHB Liv'!C78+'Silver Pensjonsforsikring AS'!C78+'Sparebank 1'!C78+'Storebrand Livsforsikring'!C78+'Telenor Forsikring'!C78+'Tryg Forsikring'!C78,"")</f>
        <v/>
      </c>
      <c r="D78" s="25" t="str">
        <f t="shared" ref="D78:D83" si="15">IF($A$1=4,IF(B78=0, "    ---- ", IF(ABS(ROUND(100/B78*C78-100,1))&lt;999,ROUND(100/B78*C78-100,1),IF(ROUND(100/B78*C78-100,1)&gt;999,999,-999))),"")</f>
        <v/>
      </c>
      <c r="E78" s="185" t="str">
        <f>IF($A$1=4,'ACE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Pensjonsforsikring'!F78+'SHB Liv'!F78+'Silver Pensjonsforsikring AS'!F78+'Sparebank 1'!F78+'Storebrand Livsforsikring'!F78+'Telenor Forsikring'!F78+'Tryg Forsikring'!F78,"")</f>
        <v/>
      </c>
      <c r="F78" s="185" t="str">
        <f>IF($A$1=4,'ACE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Pensjonsforsikring'!G78+'SHB Liv'!G78+'Silver Pensjonsforsikring AS'!G78+'Sparebank 1'!G78+'Storebrand Livsforsikring'!G78+'Telenor Forsikring'!G78+'Tryg Forsikring'!G78,"")</f>
        <v/>
      </c>
      <c r="G78" s="163" t="str">
        <f t="shared" ref="G78:G83" si="16">IF($A$1=4,IF(E78=0, "    ---- ", IF(ABS(ROUND(100/E78*F78-100,1))&lt;999,ROUND(100/E78*F78-100,1),IF(ROUND(100/E78*F78-100,1)&gt;999,999,-999))),"")</f>
        <v/>
      </c>
      <c r="H78" s="664">
        <f t="shared" si="10"/>
        <v>0</v>
      </c>
      <c r="I78" s="664">
        <f t="shared" si="11"/>
        <v>0</v>
      </c>
      <c r="J78" s="21"/>
    </row>
    <row r="79" spans="1:10" ht="15.75" customHeight="1" x14ac:dyDescent="0.2">
      <c r="A79" s="652" t="s">
        <v>12</v>
      </c>
      <c r="B79" s="233">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Liv'!B79+'Silver Pensjonsforsikring AS'!B79+'Sparebank 1'!B79+'Storebrand Livsforsikring'!B79+'Telenor Forsikring'!B79+'Tryg Forsikring'!B79</f>
        <v>0</v>
      </c>
      <c r="C79" s="233">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Liv'!C79+'Silver Pensjonsforsikring AS'!C79+'Sparebank 1'!C79+'Storebrand Livsforsikring'!C79+'Telenor Forsikring'!C79+'Tryg Forsikring'!C79</f>
        <v>0</v>
      </c>
      <c r="D79" s="25" t="str">
        <f t="shared" si="15"/>
        <v/>
      </c>
      <c r="E79" s="185" t="str">
        <f>IF($A$1=4,'ACE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Liv'!F79+'Silver Pensjonsforsikring AS'!F79+'Sparebank 1'!F79+'Storebrand Livsforsikring'!F79+'Telenor Forsikring'!F79+'Tryg Forsikring'!F79,"")</f>
        <v/>
      </c>
      <c r="F79" s="185" t="str">
        <f>IF($A$1=4,'ACE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Liv'!G79+'Silver Pensjonsforsikring AS'!G79+'Sparebank 1'!G79+'Storebrand Livsforsikring'!G79+'Telenor Forsikring'!G79+'Tryg Forsikring'!G79,"")</f>
        <v/>
      </c>
      <c r="G79" s="163" t="str">
        <f t="shared" si="16"/>
        <v/>
      </c>
      <c r="H79" s="664">
        <f t="shared" si="10"/>
        <v>0</v>
      </c>
      <c r="I79" s="664">
        <f t="shared" si="11"/>
        <v>0</v>
      </c>
      <c r="J79" s="21"/>
    </row>
    <row r="80" spans="1:10" ht="15.75" customHeight="1" x14ac:dyDescent="0.2">
      <c r="A80" s="652" t="s">
        <v>13</v>
      </c>
      <c r="B80" s="233">
        <f>'ACE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AS'!B80+'Landbruksforsikring AS'!B80+'NEMI Forsikring'!B80+'Nordea Liv '!B80+'Oslo Pensjonsforsikring'!B80+'SHB Liv'!B80+'Silver Pensjonsforsikring AS'!B80+'Sparebank 1'!B80+'Storebrand Livsforsikring'!B80+'Telenor Forsikring'!B80+'Tryg Forsikring'!B80</f>
        <v>0</v>
      </c>
      <c r="C80" s="233">
        <f>'ACE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AS'!C80+'Landbruksforsikring AS'!C80+'NEMI Forsikring'!C80+'Nordea Liv '!C80+'Oslo Pensjonsforsikring'!C80+'SHB Liv'!C80+'Silver Pensjonsforsikring AS'!C80+'Sparebank 1'!C80+'Storebrand Livsforsikring'!C80+'Telenor Forsikring'!C80+'Tryg Forsikring'!C80</f>
        <v>0</v>
      </c>
      <c r="D80" s="25" t="str">
        <f t="shared" si="15"/>
        <v/>
      </c>
      <c r="E80" s="185" t="str">
        <f>IF($A$1=4,'ACE European Group'!F80+'Danica Pensjonsforsikring'!F80+'DNB Livsforsikring'!F80+'Eika Forsikring AS'!F80+'Frende Livsforsikring'!F80+'Frende Skadeforsikring'!F80+'Gjensidige Forsikring'!F80+'Gjensidige Pensjon'!F80+'Handelsbanken Liv'!F80+'If Skadeforsikring NUF'!F80+KLP!F80+'KLP Bedriftspensjon AS'!F80+'KLP Skadeforsikring AS'!F80+'Landbruksforsikring AS'!F80+'NEMI Forsikring'!F80+'Nordea Liv '!F80+'Oslo Pensjonsforsikring'!F80+'SHB Liv'!F80+'Silver Pensjonsforsikring AS'!F80+'Sparebank 1'!F80+'Storebrand Livsforsikring'!F80+'Telenor Forsikring'!F80+'Tryg Forsikring'!F80,"")</f>
        <v/>
      </c>
      <c r="F80" s="185" t="str">
        <f>IF($A$1=4,'ACE European Group'!G80+'Danica Pensjonsforsikring'!G80+'DNB Livsforsikring'!G80+'Eika Forsikring AS'!G80+'Frende Livsforsikring'!G80+'Frende Skadeforsikring'!G80+'Gjensidige Forsikring'!G80+'Gjensidige Pensjon'!G80+'Handelsbanken Liv'!G80+'If Skadeforsikring NUF'!G80+KLP!G80+'KLP Bedriftspensjon AS'!G80+'KLP Skadeforsikring AS'!G80+'Landbruksforsikring AS'!G80+'NEMI Forsikring'!G80+'Nordea Liv '!G80+'Oslo Pensjonsforsikring'!G80+'SHB Liv'!G80+'Silver Pensjonsforsikring AS'!G80+'Sparebank 1'!G80+'Storebrand Livsforsikring'!G80+'Telenor Forsikring'!G80+'Tryg Forsikring'!G80,"")</f>
        <v/>
      </c>
      <c r="G80" s="163" t="str">
        <f t="shared" si="16"/>
        <v/>
      </c>
      <c r="H80" s="664">
        <f t="shared" si="10"/>
        <v>0</v>
      </c>
      <c r="I80" s="664">
        <f t="shared" si="11"/>
        <v>0</v>
      </c>
      <c r="J80" s="21"/>
    </row>
    <row r="81" spans="1:10" ht="15.75" customHeight="1" x14ac:dyDescent="0.2">
      <c r="A81" s="652" t="s">
        <v>412</v>
      </c>
      <c r="B81" s="185" t="str">
        <f>IF($A$1=4,'ACE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AS'!B81+'Landbruksforsikring AS'!B81+'NEMI Forsikring'!B81+'Nordea Liv '!B81+'Oslo Pensjonsforsikring'!B81+'SHB Liv'!B81+'Silver Pensjonsforsikring AS'!B81+'Sparebank 1'!B81+'Storebrand Livsforsikring'!B81+'Telenor Forsikring'!B81+'Tryg Forsikring'!B81,"")</f>
        <v/>
      </c>
      <c r="C81" s="185" t="str">
        <f>IF($A$1=4,'ACE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AS'!C81+'Landbruksforsikring AS'!C81+'NEMI Forsikring'!C81+'Nordea Liv '!C81+'Oslo Pensjonsforsikring'!C81+'SHB Liv'!C81+'Silver Pensjonsforsikring AS'!C81+'Sparebank 1'!C81+'Storebrand Livsforsikring'!C81+'Telenor Forsikring'!C81+'Tryg Forsikring'!C81,"")</f>
        <v/>
      </c>
      <c r="D81" s="25" t="str">
        <f t="shared" si="15"/>
        <v/>
      </c>
      <c r="E81" s="185" t="str">
        <f>IF($A$1=4,'ACE European Group'!F81+'Danica Pensjonsforsikring'!F81+'DNB Livsforsikring'!F81+'Eika Forsikring AS'!F81+'Frende Livsforsikring'!F81+'Frende Skadeforsikring'!F81+'Gjensidige Forsikring'!F81+'Gjensidige Pensjon'!F81+'Handelsbanken Liv'!F81+'If Skadeforsikring NUF'!F81+KLP!F81+'KLP Bedriftspensjon AS'!F81+'KLP Skadeforsikring AS'!F81+'Landbruksforsikring AS'!F81+'NEMI Forsikring'!F81+'Nordea Liv '!F81+'Oslo Pensjonsforsikring'!F81+'SHB Liv'!F81+'Silver Pensjonsforsikring AS'!F81+'Sparebank 1'!F81+'Storebrand Livsforsikring'!F81+'Telenor Forsikring'!F81+'Tryg Forsikring'!F81,"")</f>
        <v/>
      </c>
      <c r="F81" s="185" t="str">
        <f>IF($A$1=4,'ACE European Group'!G81+'Danica Pensjonsforsikring'!G81+'DNB Livsforsikring'!G81+'Eika Forsikring AS'!G81+'Frende Livsforsikring'!G81+'Frende Skadeforsikring'!G81+'Gjensidige Forsikring'!G81+'Gjensidige Pensjon'!G81+'Handelsbanken Liv'!G81+'If Skadeforsikring NUF'!G81+KLP!G81+'KLP Bedriftspensjon AS'!G81+'KLP Skadeforsikring AS'!G81+'Landbruksforsikring AS'!G81+'NEMI Forsikring'!G81+'Nordea Liv '!G81+'Oslo Pensjonsforsikring'!G81+'SHB Liv'!G81+'Silver Pensjonsforsikring AS'!G81+'Sparebank 1'!G81+'Storebrand Livsforsikring'!G81+'Telenor Forsikring'!G81+'Tryg Forsikring'!G81,"")</f>
        <v/>
      </c>
      <c r="G81" s="163" t="str">
        <f t="shared" si="16"/>
        <v/>
      </c>
      <c r="H81" s="664">
        <f t="shared" si="10"/>
        <v>0</v>
      </c>
      <c r="I81" s="664">
        <f t="shared" si="11"/>
        <v>0</v>
      </c>
      <c r="J81" s="22"/>
    </row>
    <row r="82" spans="1:10" ht="15.75" customHeight="1" x14ac:dyDescent="0.2">
      <c r="A82" s="652" t="s">
        <v>12</v>
      </c>
      <c r="B82" s="233">
        <f>'ACE European Group'!B82+'Danica Pensjonsforsikring'!B82+'DNB Livsforsikring'!B82+'Eika Forsikring AS'!B82+'Frende Livsforsikring'!B82+'Frende Skadeforsikring'!B82+'Gjensidige Forsikring'!B82+'Gjensidige Pensjon'!B82+'Handelsbanken Liv'!B82+'If Skadeforsikring NUF'!B82+KLP!B82+'KLP Bedriftspensjon AS'!B82+'KLP Skadeforsikring AS'!B82+'Landbruksforsikring AS'!B82+'NEMI Forsikring'!B82+'Nordea Liv '!B82+'Oslo Pensjonsforsikring'!B82+'SHB Liv'!B82+'Silver Pensjonsforsikring AS'!B82+'Sparebank 1'!B82+'Storebrand Livsforsikring'!B82+'Telenor Forsikring'!B82+'Tryg Forsikring'!B82</f>
        <v>0</v>
      </c>
      <c r="C82" s="233">
        <f>'ACE European Group'!C82+'Danica Pensjonsforsikring'!C82+'DNB Livsforsikring'!C82+'Eika Forsikring AS'!C82+'Frende Livsforsikring'!C82+'Frende Skadeforsikring'!C82+'Gjensidige Forsikring'!C82+'Gjensidige Pensjon'!C82+'Handelsbanken Liv'!C82+'If Skadeforsikring NUF'!C82+KLP!C82+'KLP Bedriftspensjon AS'!C82+'KLP Skadeforsikring AS'!C82+'Landbruksforsikring AS'!C82+'NEMI Forsikring'!C82+'Nordea Liv '!C82+'Oslo Pensjonsforsikring'!C82+'SHB Liv'!C82+'Silver Pensjonsforsikring AS'!C82+'Sparebank 1'!C82+'Storebrand Livsforsikring'!C82+'Telenor Forsikring'!C82+'Tryg Forsikring'!C82</f>
        <v>0</v>
      </c>
      <c r="D82" s="25" t="str">
        <f t="shared" si="15"/>
        <v/>
      </c>
      <c r="E82" s="185" t="str">
        <f>IF($A$1=4,'ACE European Group'!F82+'Danica Pensjonsforsikring'!F82+'DNB Livsforsikring'!F82+'Eika Forsikring AS'!F82+'Frende Livsforsikring'!F82+'Frende Skadeforsikring'!F82+'Gjensidige Forsikring'!F82+'Gjensidige Pensjon'!F82+'Handelsbanken Liv'!F82+'If Skadeforsikring NUF'!F82+KLP!F82+'KLP Bedriftspensjon AS'!F82+'KLP Skadeforsikring AS'!F82+'Landbruksforsikring AS'!F82+'NEMI Forsikring'!F82+'Nordea Liv '!F82+'Oslo Pensjonsforsikring'!F82+'SHB Liv'!F82+'Silver Pensjonsforsikring AS'!F82+'Sparebank 1'!F82+'Storebrand Livsforsikring'!F82+'Telenor Forsikring'!F82+'Tryg Forsikring'!F82,"")</f>
        <v/>
      </c>
      <c r="F82" s="185" t="str">
        <f>IF($A$1=4,'ACE European Group'!G82+'Danica Pensjonsforsikring'!G82+'DNB Livsforsikring'!G82+'Eika Forsikring AS'!G82+'Frende Livsforsikring'!G82+'Frende Skadeforsikring'!G82+'Gjensidige Forsikring'!G82+'Gjensidige Pensjon'!G82+'Handelsbanken Liv'!G82+'If Skadeforsikring NUF'!G82+KLP!G82+'KLP Bedriftspensjon AS'!G82+'KLP Skadeforsikring AS'!G82+'Landbruksforsikring AS'!G82+'NEMI Forsikring'!G82+'Nordea Liv '!G82+'Oslo Pensjonsforsikring'!G82+'SHB Liv'!G82+'Silver Pensjonsforsikring AS'!G82+'Sparebank 1'!G82+'Storebrand Livsforsikring'!G82+'Telenor Forsikring'!G82+'Tryg Forsikring'!G82,"")</f>
        <v/>
      </c>
      <c r="G82" s="163" t="str">
        <f t="shared" si="16"/>
        <v/>
      </c>
      <c r="H82" s="664">
        <f t="shared" si="10"/>
        <v>0</v>
      </c>
      <c r="I82" s="664">
        <f t="shared" si="11"/>
        <v>0</v>
      </c>
      <c r="J82" s="21"/>
    </row>
    <row r="83" spans="1:10" ht="15.75" customHeight="1" x14ac:dyDescent="0.2">
      <c r="A83" s="652" t="s">
        <v>13</v>
      </c>
      <c r="B83" s="233">
        <f>'ACE European Group'!B83+'Danica Pensjonsforsikring'!B83+'DNB Livsforsikring'!B83+'Eika Forsikring AS'!B83+'Frende Livsforsikring'!B83+'Frende Skadeforsikring'!B83+'Gjensidige Forsikring'!B83+'Gjensidige Pensjon'!B83+'Handelsbanken Liv'!B83+'If Skadeforsikring NUF'!B83+KLP!B83+'KLP Bedriftspensjon AS'!B83+'KLP Skadeforsikring AS'!B83+'Landbruksforsikring AS'!B83+'NEMI Forsikring'!B83+'Nordea Liv '!B83+'Oslo Pensjonsforsikring'!B83+'SHB Liv'!B83+'Silver Pensjonsforsikring AS'!B83+'Sparebank 1'!B83+'Storebrand Livsforsikring'!B83+'Telenor Forsikring'!B83+'Tryg Forsikring'!B83</f>
        <v>0</v>
      </c>
      <c r="C83" s="233">
        <f>'ACE European Group'!C83+'Danica Pensjonsforsikring'!C83+'DNB Livsforsikring'!C83+'Eika Forsikring AS'!C83+'Frende Livsforsikring'!C83+'Frende Skadeforsikring'!C83+'Gjensidige Forsikring'!C83+'Gjensidige Pensjon'!C83+'Handelsbanken Liv'!C83+'If Skadeforsikring NUF'!C83+KLP!C83+'KLP Bedriftspensjon AS'!C83+'KLP Skadeforsikring AS'!C83+'Landbruksforsikring AS'!C83+'NEMI Forsikring'!C83+'Nordea Liv '!C83+'Oslo Pensjonsforsikring'!C83+'SHB Liv'!C83+'Silver Pensjonsforsikring AS'!C83+'Sparebank 1'!C83+'Storebrand Livsforsikring'!C83+'Telenor Forsikring'!C83+'Tryg Forsikring'!C83</f>
        <v>0</v>
      </c>
      <c r="D83" s="25" t="str">
        <f t="shared" si="15"/>
        <v/>
      </c>
      <c r="E83" s="185" t="str">
        <f>IF($A$1=4,'ACE European Group'!F83+'Danica Pensjonsforsikring'!F83+'DNB Livsforsikring'!F83+'Eika Forsikring AS'!F83+'Frende Livsforsikring'!F83+'Frende Skadeforsikring'!F83+'Gjensidige Forsikring'!F83+'Gjensidige Pensjon'!F83+'Handelsbanken Liv'!F83+'If Skadeforsikring NUF'!F83+KLP!F83+'KLP Bedriftspensjon AS'!F83+'KLP Skadeforsikring AS'!F83+'Landbruksforsikring AS'!F83+'NEMI Forsikring'!F83+'Nordea Liv '!F83+'Oslo Pensjonsforsikring'!F83+'SHB Liv'!F83+'Silver Pensjonsforsikring AS'!F83+'Sparebank 1'!F83+'Storebrand Livsforsikring'!F83+'Telenor Forsikring'!F83+'Tryg Forsikring'!F83,"")</f>
        <v/>
      </c>
      <c r="F83" s="185" t="str">
        <f>IF($A$1=4,'ACE European Group'!G83+'Danica Pensjonsforsikring'!G83+'DNB Livsforsikring'!G83+'Eika Forsikring AS'!G83+'Frende Livsforsikring'!G83+'Frende Skadeforsikring'!G83+'Gjensidige Forsikring'!G83+'Gjensidige Pensjon'!G83+'Handelsbanken Liv'!G83+'If Skadeforsikring NUF'!G83+KLP!G83+'KLP Bedriftspensjon AS'!G83+'KLP Skadeforsikring AS'!G83+'Landbruksforsikring AS'!G83+'NEMI Forsikring'!G83+'Nordea Liv '!G83+'Oslo Pensjonsforsikring'!G83+'SHB Liv'!G83+'Silver Pensjonsforsikring AS'!G83+'Sparebank 1'!G83+'Storebrand Livsforsikring'!G83+'Telenor Forsikring'!G83+'Tryg Forsikring'!G83,"")</f>
        <v/>
      </c>
      <c r="G83" s="163" t="str">
        <f t="shared" si="16"/>
        <v/>
      </c>
      <c r="H83" s="664">
        <f t="shared" si="10"/>
        <v>0</v>
      </c>
      <c r="I83" s="664">
        <f t="shared" si="11"/>
        <v>0</v>
      </c>
      <c r="J83" s="21"/>
    </row>
    <row r="84" spans="1:10" ht="15.75" customHeight="1" x14ac:dyDescent="0.2">
      <c r="A84" s="19" t="s">
        <v>397</v>
      </c>
      <c r="B84" s="232">
        <f>'ACE European Group'!B84+'Danica Pensjonsforsikring'!B84+'DNB Livsforsikring'!B84+'Eika Forsikring AS'!B84+'Frende Livsforsikring'!B84+'Frende Skadeforsikring'!B84+'Gjensidige Forsikring'!B84+'Gjensidige Pensjon'!B84+'Handelsbanken Liv'!B84+'If Skadeforsikring NUF'!B84+KLP!B84+'KLP Bedriftspensjon AS'!B84+'KLP Skadeforsikring AS'!B84+'Landbruksforsikring AS'!B84+'NEMI Forsikring'!B84+'Nordea Liv '!B84+'Oslo Pensjonsforsikring'!B84+'SHB Liv'!B84+'Silver Pensjonsforsikring AS'!B84+'Sparebank 1'!B84+'Storebrand Livsforsikring'!B84+'Telenor Forsikring'!B84+'Tryg Forsikring'!B84</f>
        <v>284522.61200000002</v>
      </c>
      <c r="C84" s="232">
        <f>'ACE European Group'!C84+'Danica Pensjonsforsikring'!C84+'DNB Livsforsikring'!C84+'Eika Forsikring AS'!C84+'Frende Livsforsikring'!C84+'Frende Skadeforsikring'!C84+'Gjensidige Forsikring'!C84+'Gjensidige Pensjon'!C84+'Handelsbanken Liv'!C84+'If Skadeforsikring NUF'!C84+KLP!C84+'KLP Bedriftspensjon AS'!C84+'KLP Skadeforsikring AS'!C84+'Landbruksforsikring AS'!C84+'NEMI Forsikring'!C84+'Nordea Liv '!C84+'Oslo Pensjonsforsikring'!C84+'SHB Liv'!C84+'Silver Pensjonsforsikring AS'!C84+'Sparebank 1'!C84+'Storebrand Livsforsikring'!C84+'Telenor Forsikring'!C84+'Tryg Forsikring'!C84</f>
        <v>203873.62299999999</v>
      </c>
      <c r="D84" s="21">
        <f>IF(B84=0, "    ---- ", IF(ABS(ROUND(100/B84*C84-100,1))&lt;999,ROUND(100/B84*C84-100,1),IF(ROUND(100/B84*C84-100,1)&gt;999,999,-999)))</f>
        <v>-28.3</v>
      </c>
      <c r="E84" s="42">
        <f>'ACE European Group'!F84+'Danica Pensjonsforsikring'!F84+'DNB Livsforsikring'!F84+'Eika Forsikring AS'!F84+'Frende Livsforsikring'!F84+'Frende Skadeforsikring'!F84+'Gjensidige Forsikring'!F84+'Gjensidige Pensjon'!F84+'Handelsbanken Liv'!F84+'If Skadeforsikring NUF'!F84+KLP!F84+'KLP Bedriftspensjon AS'!F84+'KLP Skadeforsikring AS'!F84+'Landbruksforsikring AS'!F84+'NEMI Forsikring'!F84+'Nordea Liv '!F84+'Oslo Pensjonsforsikring'!F84+'SHB Liv'!F84+'Silver Pensjonsforsikring AS'!F84+'Sparebank 1'!F84+'Storebrand Livsforsikring'!F84+'Telenor Forsikring'!F84+'Tryg Forsikring'!F84</f>
        <v>10695.07905</v>
      </c>
      <c r="F84" s="42">
        <f>'ACE European Group'!G84+'Danica Pensjonsforsikring'!G84+'DNB Livsforsikring'!G84+'Eika Forsikring AS'!G84+'Frende Livsforsikring'!G84+'Frende Skadeforsikring'!G84+'Gjensidige Forsikring'!G84+'Gjensidige Pensjon'!G84+'Handelsbanken Liv'!G84+'If Skadeforsikring NUF'!G84+KLP!G84+'KLP Bedriftspensjon AS'!G84+'KLP Skadeforsikring AS'!G84+'Landbruksforsikring AS'!G84+'NEMI Forsikring'!G84+'Nordea Liv '!G84+'Oslo Pensjonsforsikring'!G84+'SHB Liv'!G84+'Silver Pensjonsforsikring AS'!G84+'Sparebank 1'!G84+'Storebrand Livsforsikring'!G84+'Telenor Forsikring'!G84+'Tryg Forsikring'!G84</f>
        <v>9714.1003099999998</v>
      </c>
      <c r="G84" s="163">
        <f>IF(E84=0, "    ---- ", IF(ABS(ROUND(100/E84*F84-100,1))&lt;999,ROUND(100/E84*F84-100,1),IF(ROUND(100/E84*F84-100,1)&gt;999,999,-999)))</f>
        <v>-9.1999999999999993</v>
      </c>
      <c r="H84" s="235">
        <f t="shared" si="10"/>
        <v>295217.69105000002</v>
      </c>
      <c r="I84" s="235">
        <f t="shared" si="11"/>
        <v>213587.72331</v>
      </c>
      <c r="J84" s="21">
        <f t="shared" si="12"/>
        <v>-27.7</v>
      </c>
    </row>
    <row r="85" spans="1:10" s="41" customFormat="1" ht="15.75" customHeight="1" x14ac:dyDescent="0.2">
      <c r="A85" s="13" t="s">
        <v>398</v>
      </c>
      <c r="B85" s="297">
        <f>'ACE European Group'!B85+'Danica Pensjonsforsikring'!B85+'DNB Livsforsikring'!B85+'Eika Forsikring AS'!B85+'Frende Livsforsikring'!B85+'Frende Skadeforsikring'!B85+'Gjensidige Forsikring'!B85+'Gjensidige Pensjon'!B85+'Handelsbanken Liv'!B85+'If Skadeforsikring NUF'!B85+KLP!B85+'KLP Bedriftspensjon AS'!B85+'KLP Skadeforsikring AS'!B85+'Landbruksforsikring AS'!B85+'NEMI Forsikring'!B85+'Nordea Liv '!B85+'Oslo Pensjonsforsikring'!B85+'SHB Liv'!B85+'Silver Pensjonsforsikring AS'!B85+'Sparebank 1'!B85+'Storebrand Livsforsikring'!B85+'Telenor Forsikring'!B85+'Tryg Forsikring'!B85</f>
        <v>377727171.23768997</v>
      </c>
      <c r="C85" s="297">
        <f>'ACE European Group'!C85+'Danica Pensjonsforsikring'!C85+'DNB Livsforsikring'!C85+'Eika Forsikring AS'!C85+'Frende Livsforsikring'!C85+'Frende Skadeforsikring'!C85+'Gjensidige Forsikring'!C85+'Gjensidige Pensjon'!C85+'Handelsbanken Liv'!C85+'If Skadeforsikring NUF'!C85+KLP!C85+'KLP Bedriftspensjon AS'!C85+'KLP Skadeforsikring AS'!C85+'Landbruksforsikring AS'!C85+'NEMI Forsikring'!C85+'Nordea Liv '!C85+'Oslo Pensjonsforsikring'!C85+'SHB Liv'!C85+'Silver Pensjonsforsikring AS'!C85+'Sparebank 1'!C85+'Storebrand Livsforsikring'!C85+'Telenor Forsikring'!C85+'Tryg Forsikring'!C85</f>
        <v>375671192.18852288</v>
      </c>
      <c r="D85" s="22">
        <f>IF(B85=0, "    ---- ", IF(ABS(ROUND(100/B85*C85-100,1))&lt;999,ROUND(100/B85*C85-100,1),IF(ROUND(100/B85*C85-100,1)&gt;999,999,-999)))</f>
        <v>-0.5</v>
      </c>
      <c r="E85" s="234">
        <f>'ACE European Group'!F85+'Danica Pensjonsforsikring'!F85+'DNB Livsforsikring'!F85+'Eika Forsikring AS'!F85+'Frende Livsforsikring'!F85+'Frende Skadeforsikring'!F85+'Gjensidige Forsikring'!F85+'Gjensidige Pensjon'!F85+'Handelsbanken Liv'!F85+'If Skadeforsikring NUF'!F85+KLP!F85+'KLP Bedriftspensjon AS'!F85+'KLP Skadeforsikring AS'!F85+'Landbruksforsikring AS'!F85+'NEMI Forsikring'!F85+'Nordea Liv '!F85+'Oslo Pensjonsforsikring'!F85+'SHB Liv'!F85+'Silver Pensjonsforsikring AS'!F85+'Sparebank 1'!F85+'Storebrand Livsforsikring'!F85+'Telenor Forsikring'!F85+'Tryg Forsikring'!F85</f>
        <v>166953504.1324313</v>
      </c>
      <c r="F85" s="234">
        <f>'ACE European Group'!G85+'Danica Pensjonsforsikring'!G85+'DNB Livsforsikring'!G85+'Eika Forsikring AS'!G85+'Frende Livsforsikring'!G85+'Frende Skadeforsikring'!G85+'Gjensidige Forsikring'!G85+'Gjensidige Pensjon'!G85+'Handelsbanken Liv'!G85+'If Skadeforsikring NUF'!G85+KLP!G85+'KLP Bedriftspensjon AS'!G85+'KLP Skadeforsikring AS'!G85+'Landbruksforsikring AS'!G85+'NEMI Forsikring'!G85+'Nordea Liv '!G85+'Oslo Pensjonsforsikring'!G85+'SHB Liv'!G85+'Silver Pensjonsforsikring AS'!G85+'Sparebank 1'!G85+'Storebrand Livsforsikring'!G85+'Telenor Forsikring'!G85+'Tryg Forsikring'!G85</f>
        <v>210528447.54627991</v>
      </c>
      <c r="G85" s="168">
        <f>IF(E85=0, "    ---- ", IF(ABS(ROUND(100/E85*F85-100,1))&lt;999,ROUND(100/E85*F85-100,1),IF(ROUND(100/E85*F85-100,1)&gt;999,999,-999)))</f>
        <v>26.1</v>
      </c>
      <c r="H85" s="315">
        <f t="shared" ref="H85:H109" si="17">SUM(B85,E85)</f>
        <v>544680675.37012124</v>
      </c>
      <c r="I85" s="315">
        <f t="shared" ref="I85:I109" si="18">SUM(C85,F85)</f>
        <v>586199639.73480272</v>
      </c>
      <c r="J85" s="22">
        <f t="shared" si="12"/>
        <v>7.6</v>
      </c>
    </row>
    <row r="86" spans="1:10" ht="15.75" customHeight="1" x14ac:dyDescent="0.2">
      <c r="A86" s="19" t="s">
        <v>9</v>
      </c>
      <c r="B86" s="232">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Pensjonsforsikring'!B86+'SHB Liv'!B86+'Silver Pensjonsforsikring AS'!B86+'Sparebank 1'!B86+'Storebrand Livsforsikring'!B86+'Telenor Forsikring'!B86+'Tryg Forsikring'!B86</f>
        <v>375420863.04035997</v>
      </c>
      <c r="C86" s="232">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Pensjonsforsikring'!C86+'SHB Liv'!C86+'Silver Pensjonsforsikring AS'!C86+'Sparebank 1'!C86+'Storebrand Livsforsikring'!C86+'Telenor Forsikring'!C86+'Tryg Forsikring'!C86</f>
        <v>372841730.7611593</v>
      </c>
      <c r="D86" s="21">
        <f>IF(B86=0, "    ---- ", IF(ABS(ROUND(100/B86*C86-100,1))&lt;999,ROUND(100/B86*C86-100,1),IF(ROUND(100/B86*C86-100,1)&gt;999,999,-999)))</f>
        <v>-0.7</v>
      </c>
      <c r="E86" s="42">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Pensjonsforsikring'!F86+'SHB Liv'!F86+'Silver Pensjonsforsikring AS'!F86+'Sparebank 1'!F86+'Storebrand Livsforsikring'!F86+'Telenor Forsikring'!F86+'Tryg Forsikring'!F86</f>
        <v>0</v>
      </c>
      <c r="F86" s="42">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Pensjonsforsikring'!G86+'SHB Liv'!G86+'Silver Pensjonsforsikring AS'!G86+'Sparebank 1'!G86+'Storebrand Livsforsikring'!G86+'Telenor Forsikring'!G86+'Tryg Forsikring'!G86</f>
        <v>0</v>
      </c>
      <c r="G86" s="163" t="str">
        <f>IF(E86=0, "    ---- ", IF(ABS(ROUND(100/E86*F86-100,1))&lt;999,ROUND(100/E86*F86-100,1),IF(ROUND(100/E86*F86-100,1)&gt;999,999,-999)))</f>
        <v xml:space="preserve">    ---- </v>
      </c>
      <c r="H86" s="235">
        <f t="shared" si="17"/>
        <v>375420863.04035997</v>
      </c>
      <c r="I86" s="235">
        <f t="shared" si="18"/>
        <v>372841730.7611593</v>
      </c>
      <c r="J86" s="21">
        <f t="shared" si="12"/>
        <v>-0.7</v>
      </c>
    </row>
    <row r="87" spans="1:10" ht="15.75" customHeight="1" x14ac:dyDescent="0.2">
      <c r="A87" s="19" t="s">
        <v>10</v>
      </c>
      <c r="B87" s="232">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Pensjonsforsikring'!B87+'SHB Liv'!B87+'Silver Pensjonsforsikring AS'!B87+'Sparebank 1'!B87+'Storebrand Livsforsikring'!B87+'Telenor Forsikring'!B87+'Tryg Forsikring'!B87</f>
        <v>2224505.3763299999</v>
      </c>
      <c r="C87" s="232">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Pensjonsforsikring'!C87+'SHB Liv'!C87+'Silver Pensjonsforsikring AS'!C87+'Sparebank 1'!C87+'Storebrand Livsforsikring'!C87+'Telenor Forsikring'!C87+'Tryg Forsikring'!C87</f>
        <v>2502034.6195535795</v>
      </c>
      <c r="D87" s="21">
        <f>IF(B87=0, "    ---- ", IF(ABS(ROUND(100/B87*C87-100,1))&lt;999,ROUND(100/B87*C87-100,1),IF(ROUND(100/B87*C87-100,1)&gt;999,999,-999)))</f>
        <v>12.5</v>
      </c>
      <c r="E87" s="42">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Pensjonsforsikring'!F87+'SHB Liv'!F87+'Silver Pensjonsforsikring AS'!F87+'Sparebank 1'!F87+'Storebrand Livsforsikring'!F87+'Telenor Forsikring'!F87+'Tryg Forsikring'!F87</f>
        <v>166796838.10495132</v>
      </c>
      <c r="F87" s="42">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Pensjonsforsikring'!G87+'SHB Liv'!G87+'Silver Pensjonsforsikring AS'!G87+'Sparebank 1'!G87+'Storebrand Livsforsikring'!G87+'Telenor Forsikring'!G87+'Tryg Forsikring'!G87</f>
        <v>209912156.94425991</v>
      </c>
      <c r="G87" s="163">
        <f>IF(E87=0, "    ---- ", IF(ABS(ROUND(100/E87*F87-100,1))&lt;999,ROUND(100/E87*F87-100,1),IF(ROUND(100/E87*F87-100,1)&gt;999,999,-999)))</f>
        <v>25.8</v>
      </c>
      <c r="H87" s="235">
        <f t="shared" si="17"/>
        <v>169021343.48128131</v>
      </c>
      <c r="I87" s="235">
        <f t="shared" si="18"/>
        <v>212414191.56381348</v>
      </c>
      <c r="J87" s="21">
        <f t="shared" si="12"/>
        <v>25.7</v>
      </c>
    </row>
    <row r="88" spans="1:10" ht="15.75" customHeight="1" x14ac:dyDescent="0.2">
      <c r="A88" s="652" t="s">
        <v>411</v>
      </c>
      <c r="B88" s="185" t="str">
        <f>IF($A$1=4,'ACE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Liv'!B88+'Silver Pensjonsforsikring AS'!B88+'Sparebank 1'!B88+'Storebrand Livsforsikring'!B88+'Telenor Forsikring'!B88+'Tryg Forsikring'!B88,"")</f>
        <v/>
      </c>
      <c r="C88" s="185" t="str">
        <f>IF($A$1=4,'ACE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Liv'!C88+'Silver Pensjonsforsikring AS'!C88+'Sparebank 1'!C88+'Storebrand Livsforsikring'!C88+'Telenor Forsikring'!C88+'Tryg Forsikring'!C88,"")</f>
        <v/>
      </c>
      <c r="D88" s="25" t="str">
        <f t="shared" ref="D88:D93" si="19">IF($A$1=4,IF(B88=0, "    ---- ", IF(ABS(ROUND(100/B88*C88-100,1))&lt;999,ROUND(100/B88*C88-100,1),IF(ROUND(100/B88*C88-100,1)&gt;999,999,-999))),"")</f>
        <v/>
      </c>
      <c r="E88" s="185" t="str">
        <f>IF($A$1=4,'ACE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Liv'!F88+'Silver Pensjonsforsikring AS'!F88+'Sparebank 1'!F88+'Storebrand Livsforsikring'!F88+'Telenor Forsikring'!F88+'Tryg Forsikring'!F88,"")</f>
        <v/>
      </c>
      <c r="F88" s="185" t="str">
        <f>IF($A$1=4,'ACE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Liv'!G88+'Silver Pensjonsforsikring AS'!G88+'Sparebank 1'!G88+'Storebrand Livsforsikring'!G88+'Telenor Forsikring'!G88+'Tryg Forsikring'!G88,"")</f>
        <v/>
      </c>
      <c r="G88" s="163" t="str">
        <f t="shared" ref="G88:G93" si="20">IF($A$1=4,IF(E88=0, "    ---- ", IF(ABS(ROUND(100/E88*F88-100,1))&lt;999,ROUND(100/E88*F88-100,1),IF(ROUND(100/E88*F88-100,1)&gt;999,999,-999))),"")</f>
        <v/>
      </c>
      <c r="H88" s="664">
        <f t="shared" si="17"/>
        <v>0</v>
      </c>
      <c r="I88" s="664">
        <f t="shared" si="18"/>
        <v>0</v>
      </c>
      <c r="J88" s="21"/>
    </row>
    <row r="89" spans="1:10" ht="15.75" customHeight="1" x14ac:dyDescent="0.2">
      <c r="A89" s="652" t="s">
        <v>12</v>
      </c>
      <c r="B89" s="233">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Liv'!B89+'Silver Pensjonsforsikring AS'!B89+'Sparebank 1'!B89+'Storebrand Livsforsikring'!B89+'Telenor Forsikring'!B89+'Tryg Forsikring'!B89</f>
        <v>0</v>
      </c>
      <c r="C89" s="233">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Liv'!C89+'Silver Pensjonsforsikring AS'!C89+'Sparebank 1'!C89+'Storebrand Livsforsikring'!C89+'Telenor Forsikring'!C89+'Tryg Forsikring'!C89</f>
        <v>0</v>
      </c>
      <c r="D89" s="25" t="str">
        <f t="shared" si="19"/>
        <v/>
      </c>
      <c r="E89" s="185" t="str">
        <f>IF($A$1=4,'ACE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Liv'!F89+'Silver Pensjonsforsikring AS'!F89+'Sparebank 1'!F89+'Storebrand Livsforsikring'!F89+'Telenor Forsikring'!F89+'Tryg Forsikring'!F89,"")</f>
        <v/>
      </c>
      <c r="F89" s="185" t="str">
        <f>IF($A$1=4,'ACE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Liv'!G89+'Silver Pensjonsforsikring AS'!G89+'Sparebank 1'!G89+'Storebrand Livsforsikring'!G89+'Telenor Forsikring'!G89+'Tryg Forsikring'!G89,"")</f>
        <v/>
      </c>
      <c r="G89" s="163" t="str">
        <f t="shared" si="20"/>
        <v/>
      </c>
      <c r="H89" s="664">
        <f t="shared" si="17"/>
        <v>0</v>
      </c>
      <c r="I89" s="664">
        <f t="shared" si="18"/>
        <v>0</v>
      </c>
      <c r="J89" s="21"/>
    </row>
    <row r="90" spans="1:10" ht="15.75" customHeight="1" x14ac:dyDescent="0.2">
      <c r="A90" s="652" t="s">
        <v>13</v>
      </c>
      <c r="B90" s="233">
        <f>'ACE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Liv'!B90+'Silver Pensjonsforsikring AS'!B90+'Sparebank 1'!B90+'Storebrand Livsforsikring'!B90+'Telenor Forsikring'!B90+'Tryg Forsikring'!B90</f>
        <v>0</v>
      </c>
      <c r="C90" s="233">
        <f>'ACE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Liv'!C90+'Silver Pensjonsforsikring AS'!C90+'Sparebank 1'!C90+'Storebrand Livsforsikring'!C90+'Telenor Forsikring'!C90+'Tryg Forsikring'!C90</f>
        <v>0</v>
      </c>
      <c r="D90" s="25" t="str">
        <f t="shared" si="19"/>
        <v/>
      </c>
      <c r="E90" s="185" t="str">
        <f>IF($A$1=4,'ACE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AS'!F90+'Landbruksforsikring AS'!F90+'NEMI Forsikring'!F90+'Nordea Liv '!F90+'Oslo Pensjonsforsikring'!F90+'SHB Liv'!F90+'Silver Pensjonsforsikring AS'!F90+'Sparebank 1'!F90+'Storebrand Livsforsikring'!F90+'Telenor Forsikring'!F90+'Tryg Forsikring'!F90,"")</f>
        <v/>
      </c>
      <c r="F90" s="185" t="str">
        <f>IF($A$1=4,'ACE European Group'!G90+'Danica Pensjonsforsikring'!G90+'DNB Livsforsikring'!G90+'Eika Forsikring AS'!G90+'Frende Livsforsikring'!G90+'Frende Skadeforsikring'!G90+'Gjensidige Forsikring'!G90+'Gjensidige Pensjon'!G90+'Handelsbanken Liv'!G90+'If Skadeforsikring NUF'!G90+KLP!G90+'KLP Bedriftspensjon AS'!G90+'KLP Skadeforsikring AS'!G90+'Landbruksforsikring AS'!G90+'NEMI Forsikring'!G90+'Nordea Liv '!G90+'Oslo Pensjonsforsikring'!G90+'SHB Liv'!G90+'Silver Pensjonsforsikring AS'!G90+'Sparebank 1'!G90+'Storebrand Livsforsikring'!G90+'Telenor Forsikring'!G90+'Tryg Forsikring'!G90,"")</f>
        <v/>
      </c>
      <c r="G90" s="163" t="str">
        <f t="shared" si="20"/>
        <v/>
      </c>
      <c r="H90" s="664">
        <f t="shared" si="17"/>
        <v>0</v>
      </c>
      <c r="I90" s="664">
        <f t="shared" si="18"/>
        <v>0</v>
      </c>
      <c r="J90" s="21"/>
    </row>
    <row r="91" spans="1:10" ht="15.75" customHeight="1" x14ac:dyDescent="0.2">
      <c r="A91" s="652" t="s">
        <v>412</v>
      </c>
      <c r="B91" s="185" t="str">
        <f>IF($A$1=4,'ACE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AS'!B91+'Landbruksforsikring AS'!B91+'NEMI Forsikring'!B91+'Nordea Liv '!B91+'Oslo Pensjonsforsikring'!B91+'SHB Liv'!B91+'Silver Pensjonsforsikring AS'!B91+'Sparebank 1'!B91+'Storebrand Livsforsikring'!B91+'Telenor Forsikring'!B91+'Tryg Forsikring'!B91,"")</f>
        <v/>
      </c>
      <c r="C91" s="185" t="str">
        <f>IF($A$1=4,'ACE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AS'!C91+'Landbruksforsikring AS'!C91+'NEMI Forsikring'!C91+'Nordea Liv '!C91+'Oslo Pensjonsforsikring'!C91+'SHB Liv'!C91+'Silver Pensjonsforsikring AS'!C91+'Sparebank 1'!C91+'Storebrand Livsforsikring'!C91+'Telenor Forsikring'!C91+'Tryg Forsikring'!C91,"")</f>
        <v/>
      </c>
      <c r="D91" s="25" t="str">
        <f t="shared" si="19"/>
        <v/>
      </c>
      <c r="E91" s="185" t="str">
        <f>IF($A$1=4,'ACE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AS'!F91+'Landbruksforsikring AS'!F91+'NEMI Forsikring'!F91+'Nordea Liv '!F91+'Oslo Pensjonsforsikring'!F91+'SHB Liv'!F91+'Silver Pensjonsforsikring AS'!F91+'Sparebank 1'!F91+'Storebrand Livsforsikring'!F91+'Telenor Forsikring'!F91+'Tryg Forsikring'!F91,"")</f>
        <v/>
      </c>
      <c r="F91" s="185" t="str">
        <f>IF($A$1=4,'ACE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AS'!G91+'Landbruksforsikring AS'!G91+'NEMI Forsikring'!G91+'Nordea Liv '!G91+'Oslo Pensjonsforsikring'!G91+'SHB Liv'!G91+'Silver Pensjonsforsikring AS'!G91+'Sparebank 1'!G91+'Storebrand Livsforsikring'!G91+'Telenor Forsikring'!G91+'Tryg Forsikring'!G91,"")</f>
        <v/>
      </c>
      <c r="G91" s="163" t="str">
        <f t="shared" si="20"/>
        <v/>
      </c>
      <c r="H91" s="664">
        <f t="shared" si="17"/>
        <v>0</v>
      </c>
      <c r="I91" s="664">
        <f t="shared" si="18"/>
        <v>0</v>
      </c>
      <c r="J91" s="21"/>
    </row>
    <row r="92" spans="1:10" ht="15.75" customHeight="1" x14ac:dyDescent="0.2">
      <c r="A92" s="652" t="s">
        <v>12</v>
      </c>
      <c r="B92" s="233">
        <f>'ACE European Group'!B92+'Danica Pensjonsforsikring'!B92+'DNB Livsforsikring'!B92+'Eika Forsikring AS'!B92+'Frende Livsforsikring'!B92+'Frende Skadeforsikring'!B92+'Gjensidige Forsikring'!B92+'Gjensidige Pensjon'!B92+'Handelsbanken Liv'!B92+'If Skadeforsikring NUF'!B92+KLP!B92+'KLP Bedriftspensjon AS'!B92+'KLP Skadeforsikring AS'!B92+'Landbruksforsikring AS'!B92+'NEMI Forsikring'!B92+'Nordea Liv '!B92+'Oslo Pensjonsforsikring'!B92+'SHB Liv'!B92+'Silver Pensjonsforsikring AS'!B92+'Sparebank 1'!B92+'Storebrand Livsforsikring'!B92+'Telenor Forsikring'!B92+'Tryg Forsikring'!B92</f>
        <v>0</v>
      </c>
      <c r="C92" s="233">
        <f>'ACE European Group'!C92+'Danica Pensjonsforsikring'!C92+'DNB Livsforsikring'!C92+'Eika Forsikring AS'!C92+'Frende Livsforsikring'!C92+'Frende Skadeforsikring'!C92+'Gjensidige Forsikring'!C92+'Gjensidige Pensjon'!C92+'Handelsbanken Liv'!C92+'If Skadeforsikring NUF'!C92+KLP!C92+'KLP Bedriftspensjon AS'!C92+'KLP Skadeforsikring AS'!C92+'Landbruksforsikring AS'!C92+'NEMI Forsikring'!C92+'Nordea Liv '!C92+'Oslo Pensjonsforsikring'!C92+'SHB Liv'!C92+'Silver Pensjonsforsikring AS'!C92+'Sparebank 1'!C92+'Storebrand Livsforsikring'!C92+'Telenor Forsikring'!C92+'Tryg Forsikring'!C92</f>
        <v>0</v>
      </c>
      <c r="D92" s="25" t="str">
        <f t="shared" si="19"/>
        <v/>
      </c>
      <c r="E92" s="185" t="str">
        <f>IF($A$1=4,'ACE European Group'!F92+'Danica Pensjonsforsikring'!F92+'DNB Livsforsikring'!F92+'Eika Forsikring AS'!F92+'Frende Livsforsikring'!F92+'Frende Skadeforsikring'!F92+'Gjensidige Forsikring'!F92+'Gjensidige Pensjon'!F92+'Handelsbanken Liv'!F92+'If Skadeforsikring NUF'!F92+KLP!F92+'KLP Bedriftspensjon AS'!F92+'KLP Skadeforsikring AS'!F92+'Landbruksforsikring AS'!F92+'NEMI Forsikring'!F92+'Nordea Liv '!F92+'Oslo Pensjonsforsikring'!F92+'SHB Liv'!F92+'Silver Pensjonsforsikring AS'!F92+'Sparebank 1'!F92+'Storebrand Livsforsikring'!F92+'Telenor Forsikring'!F92+'Tryg Forsikring'!F92,"")</f>
        <v/>
      </c>
      <c r="F92" s="185" t="str">
        <f>IF($A$1=4,'ACE European Group'!G92+'Danica Pensjonsforsikring'!G92+'DNB Livsforsikring'!G92+'Eika Forsikring AS'!G92+'Frende Livsforsikring'!G92+'Frende Skadeforsikring'!G92+'Gjensidige Forsikring'!G92+'Gjensidige Pensjon'!G92+'Handelsbanken Liv'!G92+'If Skadeforsikring NUF'!G92+KLP!G92+'KLP Bedriftspensjon AS'!G92+'KLP Skadeforsikring AS'!G92+'Landbruksforsikring AS'!G92+'NEMI Forsikring'!G92+'Nordea Liv '!G92+'Oslo Pensjonsforsikring'!G92+'SHB Liv'!G92+'Silver Pensjonsforsikring AS'!G92+'Sparebank 1'!G92+'Storebrand Livsforsikring'!G92+'Telenor Forsikring'!G92+'Tryg Forsikring'!G92,"")</f>
        <v/>
      </c>
      <c r="G92" s="163" t="str">
        <f t="shared" si="20"/>
        <v/>
      </c>
      <c r="H92" s="664">
        <f t="shared" si="17"/>
        <v>0</v>
      </c>
      <c r="I92" s="664">
        <f t="shared" si="18"/>
        <v>0</v>
      </c>
      <c r="J92" s="21"/>
    </row>
    <row r="93" spans="1:10" ht="15.75" customHeight="1" x14ac:dyDescent="0.2">
      <c r="A93" s="652" t="s">
        <v>13</v>
      </c>
      <c r="B93" s="233">
        <f>'ACE European Group'!B93+'Danica Pensjonsforsikring'!B93+'DNB Livsforsikring'!B93+'Eika Forsikring AS'!B93+'Frende Livsforsikring'!B93+'Frende Skadeforsikring'!B93+'Gjensidige Forsikring'!B93+'Gjensidige Pensjon'!B93+'Handelsbanken Liv'!B93+'If Skadeforsikring NUF'!B93+KLP!B93+'KLP Bedriftspensjon AS'!B93+'KLP Skadeforsikring AS'!B93+'Landbruksforsikring AS'!B93+'NEMI Forsikring'!B93+'Nordea Liv '!B93+'Oslo Pensjonsforsikring'!B93+'SHB Liv'!B93+'Silver Pensjonsforsikring AS'!B93+'Sparebank 1'!B93+'Storebrand Livsforsikring'!B93+'Telenor Forsikring'!B93+'Tryg Forsikring'!B93</f>
        <v>0</v>
      </c>
      <c r="C93" s="233">
        <f>'ACE European Group'!C93+'Danica Pensjonsforsikring'!C93+'DNB Livsforsikring'!C93+'Eika Forsikring AS'!C93+'Frende Livsforsikring'!C93+'Frende Skadeforsikring'!C93+'Gjensidige Forsikring'!C93+'Gjensidige Pensjon'!C93+'Handelsbanken Liv'!C93+'If Skadeforsikring NUF'!C93+KLP!C93+'KLP Bedriftspensjon AS'!C93+'KLP Skadeforsikring AS'!C93+'Landbruksforsikring AS'!C93+'NEMI Forsikring'!C93+'Nordea Liv '!C93+'Oslo Pensjonsforsikring'!C93+'SHB Liv'!C93+'Silver Pensjonsforsikring AS'!C93+'Sparebank 1'!C93+'Storebrand Livsforsikring'!C93+'Telenor Forsikring'!C93+'Tryg Forsikring'!C93</f>
        <v>0</v>
      </c>
      <c r="D93" s="25" t="str">
        <f t="shared" si="19"/>
        <v/>
      </c>
      <c r="E93" s="185" t="str">
        <f>IF($A$1=4,'ACE European Group'!F93+'Danica Pensjonsforsikring'!F93+'DNB Livsforsikring'!F93+'Eika Forsikring AS'!F93+'Frende Livsforsikring'!F93+'Frende Skadeforsikring'!F93+'Gjensidige Forsikring'!F93+'Gjensidige Pensjon'!F93+'Handelsbanken Liv'!F93+'If Skadeforsikring NUF'!F93+KLP!F93+'KLP Bedriftspensjon AS'!F93+'KLP Skadeforsikring AS'!F93+'Landbruksforsikring AS'!F93+'NEMI Forsikring'!F93+'Nordea Liv '!F93+'Oslo Pensjonsforsikring'!F93+'SHB Liv'!F93+'Silver Pensjonsforsikring AS'!F93+'Sparebank 1'!F93+'Storebrand Livsforsikring'!F93+'Telenor Forsikring'!F93+'Tryg Forsikring'!F93,"")</f>
        <v/>
      </c>
      <c r="F93" s="185" t="str">
        <f>IF($A$1=4,'ACE European Group'!G93+'Danica Pensjonsforsikring'!G93+'DNB Livsforsikring'!G93+'Eika Forsikring AS'!G93+'Frende Livsforsikring'!G93+'Frende Skadeforsikring'!G93+'Gjensidige Forsikring'!G93+'Gjensidige Pensjon'!G93+'Handelsbanken Liv'!G93+'If Skadeforsikring NUF'!G93+KLP!G93+'KLP Bedriftspensjon AS'!G93+'KLP Skadeforsikring AS'!G93+'Landbruksforsikring AS'!G93+'NEMI Forsikring'!G93+'Nordea Liv '!G93+'Oslo Pensjonsforsikring'!G93+'SHB Liv'!G93+'Silver Pensjonsforsikring AS'!G93+'Sparebank 1'!G93+'Storebrand Livsforsikring'!G93+'Telenor Forsikring'!G93+'Tryg Forsikring'!G93,"")</f>
        <v/>
      </c>
      <c r="G93" s="163" t="str">
        <f t="shared" si="20"/>
        <v/>
      </c>
      <c r="H93" s="664">
        <f t="shared" si="17"/>
        <v>0</v>
      </c>
      <c r="I93" s="664">
        <f t="shared" si="18"/>
        <v>0</v>
      </c>
      <c r="J93" s="21"/>
    </row>
    <row r="94" spans="1:10" ht="15.75" customHeight="1" x14ac:dyDescent="0.2">
      <c r="A94" s="19" t="s">
        <v>370</v>
      </c>
      <c r="B94" s="232">
        <f>'ACE European Group'!B94+'Danica Pensjonsforsikring'!B94+'DNB Livsforsikring'!B94+'Eika Forsikring AS'!B94+'Frende Livsforsikring'!B94+'Frende Skadeforsikring'!B94+'Gjensidige Forsikring'!B94+'Gjensidige Pensjon'!B94+'Handelsbanken Liv'!B94+'If Skadeforsikring NUF'!B94+KLP!B94+'KLP Bedriftspensjon AS'!B94+'KLP Skadeforsikring AS'!B94+'Landbruksforsikring AS'!B94+'NEMI Forsikring'!B94+'Nordea Liv '!B94+'Oslo Pensjonsforsikring'!B94+'SHB Liv'!B94+'Silver Pensjonsforsikring AS'!B94+'Sparebank 1'!B94+'Storebrand Livsforsikring'!B94+'Telenor Forsikring'!B94+'Tryg Forsikring'!B94</f>
        <v>81802.820999999996</v>
      </c>
      <c r="C94" s="232">
        <f>'ACE European Group'!C94+'Danica Pensjonsforsikring'!C94+'DNB Livsforsikring'!C94+'Eika Forsikring AS'!C94+'Frende Livsforsikring'!C94+'Frende Skadeforsikring'!C94+'Gjensidige Forsikring'!C94+'Gjensidige Pensjon'!C94+'Handelsbanken Liv'!C94+'If Skadeforsikring NUF'!C94+KLP!C94+'KLP Bedriftspensjon AS'!C94+'KLP Skadeforsikring AS'!C94+'Landbruksforsikring AS'!C94+'NEMI Forsikring'!C94+'Nordea Liv '!C94+'Oslo Pensjonsforsikring'!C94+'SHB Liv'!C94+'Silver Pensjonsforsikring AS'!C94+'Sparebank 1'!C94+'Storebrand Livsforsikring'!C94+'Telenor Forsikring'!C94+'Tryg Forsikring'!C94</f>
        <v>327426.80781000003</v>
      </c>
      <c r="D94" s="21">
        <f>IF(B94=0, "    ---- ", IF(ABS(ROUND(100/B94*C94-100,1))&lt;999,ROUND(100/B94*C94-100,1),IF(ROUND(100/B94*C94-100,1)&gt;999,999,-999)))</f>
        <v>300.3</v>
      </c>
      <c r="E94" s="42">
        <f>'ACE European Group'!F94+'Danica Pensjonsforsikring'!F94+'DNB Livsforsikring'!F94+'Eika Forsikring AS'!F94+'Frende Livsforsikring'!F94+'Frende Skadeforsikring'!F94+'Gjensidige Forsikring'!F94+'Gjensidige Pensjon'!F94+'Handelsbanken Liv'!F94+'If Skadeforsikring NUF'!F94+KLP!F94+'KLP Bedriftspensjon AS'!F94+'KLP Skadeforsikring AS'!F94+'Landbruksforsikring AS'!F94+'NEMI Forsikring'!F94+'Nordea Liv '!F94+'Oslo Pensjonsforsikring'!F94+'SHB Liv'!F94+'Silver Pensjonsforsikring AS'!F94+'Sparebank 1'!F94+'Storebrand Livsforsikring'!F94+'Telenor Forsikring'!F94+'Tryg Forsikring'!F94</f>
        <v>156666.02747999999</v>
      </c>
      <c r="F94" s="42">
        <f>'ACE European Group'!G94+'Danica Pensjonsforsikring'!G94+'DNB Livsforsikring'!G94+'Eika Forsikring AS'!G94+'Frende Livsforsikring'!G94+'Frende Skadeforsikring'!G94+'Gjensidige Forsikring'!G94+'Gjensidige Pensjon'!G94+'Handelsbanken Liv'!G94+'If Skadeforsikring NUF'!G94+KLP!G94+'KLP Bedriftspensjon AS'!G94+'KLP Skadeforsikring AS'!G94+'Landbruksforsikring AS'!G94+'NEMI Forsikring'!G94+'Nordea Liv '!G94+'Oslo Pensjonsforsikring'!G94+'SHB Liv'!G94+'Silver Pensjonsforsikring AS'!G94+'Sparebank 1'!G94+'Storebrand Livsforsikring'!G94+'Telenor Forsikring'!G94+'Tryg Forsikring'!G94</f>
        <v>616290.60201999999</v>
      </c>
      <c r="G94" s="163">
        <f>IF(E94=0, "    ---- ", IF(ABS(ROUND(100/E94*F94-100,1))&lt;999,ROUND(100/E94*F94-100,1),IF(ROUND(100/E94*F94-100,1)&gt;999,999,-999)))</f>
        <v>293.39999999999998</v>
      </c>
      <c r="H94" s="235">
        <f t="shared" si="17"/>
        <v>238468.84847999999</v>
      </c>
      <c r="I94" s="235">
        <f t="shared" si="18"/>
        <v>943717.40983000002</v>
      </c>
      <c r="J94" s="21">
        <f t="shared" si="12"/>
        <v>295.7</v>
      </c>
    </row>
    <row r="95" spans="1:10" ht="15.75" customHeight="1" x14ac:dyDescent="0.2">
      <c r="A95" s="19" t="s">
        <v>369</v>
      </c>
      <c r="B95" s="232">
        <f>'ACE European Group'!B95+'Danica Pensjonsforsikring'!B95+'DNB Livsforsikring'!B95+'Eika Forsikring AS'!B95+'Frende Livsforsikring'!B95+'Frende Skadeforsikring'!B95+'Gjensidige Forsikring'!B95+'Gjensidige Pensjon'!B95+'Handelsbanken Liv'!B95+'If Skadeforsikring NUF'!B95+KLP!B95+'KLP Bedriftspensjon AS'!B95+'KLP Skadeforsikring AS'!B95+'Landbruksforsikring AS'!B95+'NEMI Forsikring'!B95+'Nordea Liv '!B95+'Oslo Pensjonsforsikring'!B95+'SHB Liv'!B95+'Silver Pensjonsforsikring AS'!B95+'Sparebank 1'!B95+'Storebrand Livsforsikring'!B95+'Telenor Forsikring'!B95+'Tryg Forsikring'!B95</f>
        <v>0</v>
      </c>
      <c r="C95" s="232">
        <f>'ACE European Group'!C95+'Danica Pensjonsforsikring'!C95+'DNB Livsforsikring'!C95+'Eika Forsikring AS'!C95+'Frende Livsforsikring'!C95+'Frende Skadeforsikring'!C95+'Gjensidige Forsikring'!C95+'Gjensidige Pensjon'!C95+'Handelsbanken Liv'!C95+'If Skadeforsikring NUF'!C95+KLP!C95+'KLP Bedriftspensjon AS'!C95+'KLP Skadeforsikring AS'!C95+'Landbruksforsikring AS'!C95+'NEMI Forsikring'!C95+'Nordea Liv '!C95+'Oslo Pensjonsforsikring'!C95+'SHB Liv'!C95+'Silver Pensjonsforsikring AS'!C95+'Sparebank 1'!C95+'Storebrand Livsforsikring'!C95+'Telenor Forsikring'!C95+'Tryg Forsikring'!C95</f>
        <v>4566249.64958</v>
      </c>
      <c r="D95" s="21" t="str">
        <f>IF(B95=0, "    ---- ", IF(ABS(ROUND(100/B95*C95-100,1))&lt;999,ROUND(100/B95*C95-100,1),IF(ROUND(100/B95*C95-100,1)&gt;999,999,-999)))</f>
        <v xml:space="preserve">    ---- </v>
      </c>
      <c r="E95" s="42">
        <f>'ACE European Group'!F95+'Danica Pensjonsforsikring'!F95+'DNB Livsforsikring'!F95+'Eika Forsikring AS'!F95+'Frende Livsforsikring'!F95+'Frende Skadeforsikring'!F95+'Gjensidige Forsikring'!F95+'Gjensidige Pensjon'!F95+'Handelsbanken Liv'!F95+'If Skadeforsikring NUF'!F95+KLP!F95+'KLP Bedriftspensjon AS'!F95+'KLP Skadeforsikring AS'!F95+'Landbruksforsikring AS'!F95+'NEMI Forsikring'!F95+'Nordea Liv '!F95+'Oslo Pensjonsforsikring'!F95+'SHB Liv'!F95+'Silver Pensjonsforsikring AS'!F95+'Sparebank 1'!F95+'Storebrand Livsforsikring'!F95+'Telenor Forsikring'!F95+'Tryg Forsikring'!F95</f>
        <v>0</v>
      </c>
      <c r="F95" s="42">
        <f>'ACE European Group'!G95+'Danica Pensjonsforsikring'!G95+'DNB Livsforsikring'!G95+'Eika Forsikring AS'!G95+'Frende Livsforsikring'!G95+'Frende Skadeforsikring'!G95+'Gjensidige Forsikring'!G95+'Gjensidige Pensjon'!G95+'Handelsbanken Liv'!G95+'If Skadeforsikring NUF'!G95+KLP!G95+'KLP Bedriftspensjon AS'!G95+'KLP Skadeforsikring AS'!G95+'Landbruksforsikring AS'!G95+'NEMI Forsikring'!G95+'Nordea Liv '!G95+'Oslo Pensjonsforsikring'!G95+'SHB Liv'!G95+'Silver Pensjonsforsikring AS'!G95+'Sparebank 1'!G95+'Storebrand Livsforsikring'!G95+'Telenor Forsikring'!G95+'Tryg Forsikring'!G95</f>
        <v>0</v>
      </c>
      <c r="G95" s="163" t="str">
        <f>IF(E95=0, "    ---- ", IF(ABS(ROUND(100/E95*F95-100,1))&lt;999,ROUND(100/E95*F95-100,1),IF(ROUND(100/E95*F95-100,1)&gt;999,999,-999)))</f>
        <v xml:space="preserve">    ---- </v>
      </c>
      <c r="H95" s="235">
        <f>SUM(B95,E95)</f>
        <v>0</v>
      </c>
      <c r="I95" s="235">
        <f>SUM(C95,F95)</f>
        <v>4566249.64958</v>
      </c>
      <c r="J95" s="21" t="str">
        <f>IF(H95=0, "    ---- ", IF(ABS(ROUND(100/H95*I95-100,1))&lt;999,ROUND(100/H95*I95-100,1),IF(ROUND(100/H95*I95-100,1)&gt;999,999,-999)))</f>
        <v xml:space="preserve">    ---- </v>
      </c>
    </row>
    <row r="96" spans="1:10" ht="15.75" customHeight="1" x14ac:dyDescent="0.2">
      <c r="A96" s="19" t="s">
        <v>413</v>
      </c>
      <c r="B96" s="232">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Pensjonsforsikring'!B96+'SHB Liv'!B96+'Silver Pensjonsforsikring AS'!B96+'Sparebank 1'!B96+'Storebrand Livsforsikring'!B96+'Telenor Forsikring'!B96+'Tryg Forsikring'!B96</f>
        <v>372795472.68968999</v>
      </c>
      <c r="C96" s="232">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Pensjonsforsikring'!C96+'SHB Liv'!C96+'Silver Pensjonsforsikring AS'!C96+'Sparebank 1'!C96+'Storebrand Livsforsikring'!C96+'Telenor Forsikring'!C96+'Tryg Forsikring'!C96</f>
        <v>370457991.0077129</v>
      </c>
      <c r="D96" s="21">
        <f>IF(B96=0, "    ---- ", IF(ABS(ROUND(100/B96*C96-100,1))&lt;999,ROUND(100/B96*C96-100,1),IF(ROUND(100/B96*C96-100,1)&gt;999,999,-999)))</f>
        <v>-0.6</v>
      </c>
      <c r="E96" s="42">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Pensjonsforsikring'!F96+'SHB Liv'!F96+'Silver Pensjonsforsikring AS'!F96+'Sparebank 1'!F96+'Storebrand Livsforsikring'!F96+'Telenor Forsikring'!F96+'Tryg Forsikring'!F96</f>
        <v>166358305.27891129</v>
      </c>
      <c r="F96" s="42">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Pensjonsforsikring'!G96+'SHB Liv'!G96+'Silver Pensjonsforsikring AS'!G96+'Sparebank 1'!G96+'Storebrand Livsforsikring'!G96+'Telenor Forsikring'!G96+'Tryg Forsikring'!G96</f>
        <v>209362604.39224991</v>
      </c>
      <c r="G96" s="163">
        <f>IF(E96=0, "    ---- ", IF(ABS(ROUND(100/E96*F96-100,1))&lt;999,ROUND(100/E96*F96-100,1),IF(ROUND(100/E96*F96-100,1)&gt;999,999,-999)))</f>
        <v>25.9</v>
      </c>
      <c r="H96" s="235">
        <f t="shared" si="17"/>
        <v>539153777.96860123</v>
      </c>
      <c r="I96" s="235">
        <f t="shared" si="18"/>
        <v>579820595.39996278</v>
      </c>
      <c r="J96" s="21">
        <f t="shared" si="12"/>
        <v>7.5</v>
      </c>
    </row>
    <row r="97" spans="1:10" ht="15.75" customHeight="1" x14ac:dyDescent="0.2">
      <c r="A97" s="19" t="s">
        <v>9</v>
      </c>
      <c r="B97" s="232">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Pensjonsforsikring'!B97+'SHB Liv'!B97+'Silver Pensjonsforsikring AS'!B97+'Sparebank 1'!B97+'Storebrand Livsforsikring'!B97+'Telenor Forsikring'!B97+'Tryg Forsikring'!B97</f>
        <v>370570967.31335998</v>
      </c>
      <c r="C97" s="232">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Pensjonsforsikring'!C97+'SHB Liv'!C97+'Silver Pensjonsforsikring AS'!C97+'Sparebank 1'!C97+'Storebrand Livsforsikring'!C97+'Telenor Forsikring'!C97+'Tryg Forsikring'!C97</f>
        <v>367955956.38815933</v>
      </c>
      <c r="D97" s="21">
        <f>IF(B97=0, "    ---- ", IF(ABS(ROUND(100/B97*C97-100,1))&lt;999,ROUND(100/B97*C97-100,1),IF(ROUND(100/B97*C97-100,1)&gt;999,999,-999)))</f>
        <v>-0.7</v>
      </c>
      <c r="E97" s="42">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Pensjonsforsikring'!F97+'SHB Liv'!F97+'Silver Pensjonsforsikring AS'!F97+'Sparebank 1'!F97+'Storebrand Livsforsikring'!F97+'Telenor Forsikring'!F97+'Tryg Forsikring'!F97</f>
        <v>0</v>
      </c>
      <c r="F97" s="42">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Pensjonsforsikring'!G97+'SHB Liv'!G97+'Silver Pensjonsforsikring AS'!G97+'Sparebank 1'!G97+'Storebrand Livsforsikring'!G97+'Telenor Forsikring'!G97+'Tryg Forsikring'!G97</f>
        <v>0</v>
      </c>
      <c r="G97" s="163" t="str">
        <f>IF(E97=0, "    ---- ", IF(ABS(ROUND(100/E97*F97-100,1))&lt;999,ROUND(100/E97*F97-100,1),IF(ROUND(100/E97*F97-100,1)&gt;999,999,-999)))</f>
        <v xml:space="preserve">    ---- </v>
      </c>
      <c r="H97" s="235">
        <f t="shared" si="17"/>
        <v>370570967.31335998</v>
      </c>
      <c r="I97" s="235">
        <f t="shared" si="18"/>
        <v>367955956.38815933</v>
      </c>
      <c r="J97" s="21">
        <f t="shared" si="12"/>
        <v>-0.7</v>
      </c>
    </row>
    <row r="98" spans="1:10" ht="15.75" customHeight="1" x14ac:dyDescent="0.2">
      <c r="A98" s="19" t="s">
        <v>10</v>
      </c>
      <c r="B98" s="232">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Liv'!B98+'Silver Pensjonsforsikring AS'!B98+'Sparebank 1'!B98+'Storebrand Livsforsikring'!B98+'Telenor Forsikring'!B98+'Tryg Forsikring'!B98</f>
        <v>2224505.3763299999</v>
      </c>
      <c r="C98" s="232">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Liv'!C98+'Silver Pensjonsforsikring AS'!C98+'Sparebank 1'!C98+'Storebrand Livsforsikring'!C98+'Telenor Forsikring'!C98+'Tryg Forsikring'!C98</f>
        <v>2502034.6195535795</v>
      </c>
      <c r="D98" s="21">
        <f>IF(B98=0, "    ---- ", IF(ABS(ROUND(100/B98*C98-100,1))&lt;999,ROUND(100/B98*C98-100,1),IF(ROUND(100/B98*C98-100,1)&gt;999,999,-999)))</f>
        <v>12.5</v>
      </c>
      <c r="E98" s="42">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Liv'!F98+'Silver Pensjonsforsikring AS'!F98+'Sparebank 1'!F98+'Storebrand Livsforsikring'!F98+'Telenor Forsikring'!F98+'Tryg Forsikring'!F98</f>
        <v>166358305.27891129</v>
      </c>
      <c r="F98" s="42">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Liv'!G98+'Silver Pensjonsforsikring AS'!G98+'Sparebank 1'!G98+'Storebrand Livsforsikring'!G98+'Telenor Forsikring'!G98+'Tryg Forsikring'!G98</f>
        <v>209362604.39224991</v>
      </c>
      <c r="G98" s="163">
        <f>IF(E98=0, "    ---- ", IF(ABS(ROUND(100/E98*F98-100,1))&lt;999,ROUND(100/E98*F98-100,1),IF(ROUND(100/E98*F98-100,1)&gt;999,999,-999)))</f>
        <v>25.9</v>
      </c>
      <c r="H98" s="235">
        <f t="shared" si="17"/>
        <v>168582810.65524128</v>
      </c>
      <c r="I98" s="235">
        <f t="shared" si="18"/>
        <v>211864639.01180348</v>
      </c>
      <c r="J98" s="21">
        <f t="shared" si="12"/>
        <v>25.7</v>
      </c>
    </row>
    <row r="99" spans="1:10" ht="15.75" customHeight="1" x14ac:dyDescent="0.2">
      <c r="A99" s="652" t="s">
        <v>411</v>
      </c>
      <c r="B99" s="185" t="str">
        <f>IF($A$1=4,'ACE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Liv'!B99+'Silver Pensjonsforsikring AS'!B99+'Sparebank 1'!B99+'Storebrand Livsforsikring'!B99+'Telenor Forsikring'!B99+'Tryg Forsikring'!B99,"")</f>
        <v/>
      </c>
      <c r="C99" s="185" t="str">
        <f>IF($A$1=4,'ACE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Liv'!C99+'Silver Pensjonsforsikring AS'!C99+'Sparebank 1'!C99+'Storebrand Livsforsikring'!C99+'Telenor Forsikring'!C99+'Tryg Forsikring'!C99,"")</f>
        <v/>
      </c>
      <c r="D99" s="25" t="str">
        <f t="shared" ref="D99:D104" si="21">IF($A$1=4,IF(B99=0, "    ---- ", IF(ABS(ROUND(100/B99*C99-100,1))&lt;999,ROUND(100/B99*C99-100,1),IF(ROUND(100/B99*C99-100,1)&gt;999,999,-999))),"")</f>
        <v/>
      </c>
      <c r="E99" s="185" t="str">
        <f>IF($A$1=4,'ACE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Liv'!F99+'Silver Pensjonsforsikring AS'!F99+'Sparebank 1'!F99+'Storebrand Livsforsikring'!F99+'Telenor Forsikring'!F99+'Tryg Forsikring'!F99,"")</f>
        <v/>
      </c>
      <c r="F99" s="185" t="str">
        <f>IF($A$1=4,'ACE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Liv'!G99+'Silver Pensjonsforsikring AS'!G99+'Sparebank 1'!G99+'Storebrand Livsforsikring'!G99+'Telenor Forsikring'!G99+'Tryg Forsikring'!G99,"")</f>
        <v/>
      </c>
      <c r="G99" s="163" t="str">
        <f t="shared" ref="G99:G104" si="22">IF($A$1=4,IF(E99=0, "    ---- ", IF(ABS(ROUND(100/E99*F99-100,1))&lt;999,ROUND(100/E99*F99-100,1),IF(ROUND(100/E99*F99-100,1)&gt;999,999,-999))),"")</f>
        <v/>
      </c>
      <c r="H99" s="664">
        <f t="shared" si="17"/>
        <v>0</v>
      </c>
      <c r="I99" s="664">
        <f t="shared" si="18"/>
        <v>0</v>
      </c>
      <c r="J99" s="21"/>
    </row>
    <row r="100" spans="1:10" ht="15.75" customHeight="1" x14ac:dyDescent="0.2">
      <c r="A100" s="652" t="s">
        <v>12</v>
      </c>
      <c r="B100" s="233">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Pensjonsforsikring'!B100+'SHB Liv'!B100+'Silver Pensjonsforsikring AS'!B100+'Sparebank 1'!B100+'Storebrand Livsforsikring'!B100+'Telenor Forsikring'!B100+'Tryg Forsikring'!B100</f>
        <v>0</v>
      </c>
      <c r="C100" s="233">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Pensjonsforsikring'!C100+'SHB Liv'!C100+'Silver Pensjonsforsikring AS'!C100+'Sparebank 1'!C100+'Storebrand Livsforsikring'!C100+'Telenor Forsikring'!C100+'Tryg Forsikring'!C100</f>
        <v>0</v>
      </c>
      <c r="D100" s="25" t="str">
        <f t="shared" si="21"/>
        <v/>
      </c>
      <c r="E100" s="185" t="str">
        <f>IF($A$1=4,'ACE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Pensjonsforsikring'!F100+'SHB Liv'!F100+'Silver Pensjonsforsikring AS'!F100+'Sparebank 1'!F100+'Storebrand Livsforsikring'!F100+'Telenor Forsikring'!F100+'Tryg Forsikring'!F100,"")</f>
        <v/>
      </c>
      <c r="F100" s="185" t="str">
        <f>IF($A$1=4,'ACE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Pensjonsforsikring'!G100+'SHB Liv'!G100+'Silver Pensjonsforsikring AS'!G100+'Sparebank 1'!G100+'Storebrand Livsforsikring'!G100+'Telenor Forsikring'!G100+'Tryg Forsikring'!G100,"")</f>
        <v/>
      </c>
      <c r="G100" s="163" t="str">
        <f t="shared" si="22"/>
        <v/>
      </c>
      <c r="H100" s="664">
        <f t="shared" si="17"/>
        <v>0</v>
      </c>
      <c r="I100" s="664">
        <f t="shared" si="18"/>
        <v>0</v>
      </c>
      <c r="J100" s="21"/>
    </row>
    <row r="101" spans="1:10" ht="15.75" customHeight="1" x14ac:dyDescent="0.2">
      <c r="A101" s="652" t="s">
        <v>13</v>
      </c>
      <c r="B101" s="233">
        <f>'ACE European Group'!B101+'Danica Pensjonsforsikring'!B101+'DNB Livsforsikring'!B101+'Eika Forsikring AS'!B101+'Frende Livsforsikring'!B101+'Frende Skadeforsikring'!B101+'Gjensidige Forsikring'!B101+'Gjensidige Pensjon'!B101+'Handelsbanken Liv'!B101+'If Skadeforsikring NUF'!B101+KLP!B101+'KLP Bedriftspensjon AS'!B101+'KLP Skadeforsikring AS'!B101+'Landbruksforsikring AS'!B101+'NEMI Forsikring'!B101+'Nordea Liv '!B101+'Oslo Pensjonsforsikring'!B101+'SHB Liv'!B101+'Silver Pensjonsforsikring AS'!B101+'Sparebank 1'!B101+'Storebrand Livsforsikring'!B101+'Telenor Forsikring'!B101+'Tryg Forsikring'!B101</f>
        <v>0</v>
      </c>
      <c r="C101" s="233">
        <f>'ACE European Group'!C101+'Danica Pensjonsforsikring'!C101+'DNB Livsforsikring'!C101+'Eika Forsikring AS'!C101+'Frende Livsforsikring'!C101+'Frende Skadeforsikring'!C101+'Gjensidige Forsikring'!C101+'Gjensidige Pensjon'!C101+'Handelsbanken Liv'!C101+'If Skadeforsikring NUF'!C101+KLP!C101+'KLP Bedriftspensjon AS'!C101+'KLP Skadeforsikring AS'!C101+'Landbruksforsikring AS'!C101+'NEMI Forsikring'!C101+'Nordea Liv '!C101+'Oslo Pensjonsforsikring'!C101+'SHB Liv'!C101+'Silver Pensjonsforsikring AS'!C101+'Sparebank 1'!C101+'Storebrand Livsforsikring'!C101+'Telenor Forsikring'!C101+'Tryg Forsikring'!C101</f>
        <v>0</v>
      </c>
      <c r="D101" s="25" t="str">
        <f t="shared" si="21"/>
        <v/>
      </c>
      <c r="E101" s="185" t="str">
        <f>IF($A$1=4,'ACE European Group'!F101+'Danica Pensjonsforsikring'!F101+'DNB Livsforsikring'!F101+'Eika Forsikring AS'!F101+'Frende Livsforsikring'!F101+'Frende Skadeforsikring'!F101+'Gjensidige Forsikring'!F101+'Gjensidige Pensjon'!F101+'Handelsbanken Liv'!F101+'If Skadeforsikring NUF'!F101+KLP!F101+'KLP Bedriftspensjon AS'!F101+'KLP Skadeforsikring AS'!F101+'Landbruksforsikring AS'!F101+'NEMI Forsikring'!F101+'Nordea Liv '!F101+'Oslo Pensjonsforsikring'!F101+'SHB Liv'!F101+'Silver Pensjonsforsikring AS'!F101+'Sparebank 1'!F101+'Storebrand Livsforsikring'!F101+'Telenor Forsikring'!F101+'Tryg Forsikring'!F101,"")</f>
        <v/>
      </c>
      <c r="F101" s="185" t="str">
        <f>IF($A$1=4,'ACE European Group'!G101+'Danica Pensjonsforsikring'!G101+'DNB Livsforsikring'!G101+'Eika Forsikring AS'!G101+'Frende Livsforsikring'!G101+'Frende Skadeforsikring'!G101+'Gjensidige Forsikring'!G101+'Gjensidige Pensjon'!G101+'Handelsbanken Liv'!G101+'If Skadeforsikring NUF'!G101+KLP!G101+'KLP Bedriftspensjon AS'!G101+'KLP Skadeforsikring AS'!G101+'Landbruksforsikring AS'!G101+'NEMI Forsikring'!G101+'Nordea Liv '!G101+'Oslo Pensjonsforsikring'!G101+'SHB Liv'!G101+'Silver Pensjonsforsikring AS'!G101+'Sparebank 1'!G101+'Storebrand Livsforsikring'!G101+'Telenor Forsikring'!G101+'Tryg Forsikring'!G101,"")</f>
        <v/>
      </c>
      <c r="G101" s="163" t="str">
        <f t="shared" si="22"/>
        <v/>
      </c>
      <c r="H101" s="664">
        <f t="shared" si="17"/>
        <v>0</v>
      </c>
      <c r="I101" s="664">
        <f t="shared" si="18"/>
        <v>0</v>
      </c>
      <c r="J101" s="21"/>
    </row>
    <row r="102" spans="1:10" ht="15.75" customHeight="1" x14ac:dyDescent="0.2">
      <c r="A102" s="652" t="s">
        <v>412</v>
      </c>
      <c r="B102" s="185" t="str">
        <f>IF($A$1=4,'ACE European Group'!B102+'Danica Pensjonsforsikring'!B102+'DNB Livsforsikring'!B102+'Eika Forsikring AS'!B102+'Frende Livsforsikring'!B102+'Frende Skadeforsikring'!B102+'Gjensidige Forsikring'!B102+'Gjensidige Pensjon'!B102+'Handelsbanken Liv'!B102+'If Skadeforsikring NUF'!B102+KLP!B102+'KLP Bedriftspensjon AS'!B102+'KLP Skadeforsikring AS'!B102+'Landbruksforsikring AS'!B102+'NEMI Forsikring'!B102+'Nordea Liv '!B102+'Oslo Pensjonsforsikring'!B102+'SHB Liv'!B102+'Silver Pensjonsforsikring AS'!B102+'Sparebank 1'!B102+'Storebrand Livsforsikring'!B102+'Telenor Forsikring'!B102+'Tryg Forsikring'!B102,"")</f>
        <v/>
      </c>
      <c r="C102" s="185" t="str">
        <f>IF($A$1=4,'ACE European Group'!C102+'Danica Pensjonsforsikring'!C102+'DNB Livsforsikring'!C102+'Eika Forsikring AS'!C102+'Frende Livsforsikring'!C102+'Frende Skadeforsikring'!C102+'Gjensidige Forsikring'!C102+'Gjensidige Pensjon'!C102+'Handelsbanken Liv'!C102+'If Skadeforsikring NUF'!C102+KLP!C102+'KLP Bedriftspensjon AS'!C102+'KLP Skadeforsikring AS'!C102+'Landbruksforsikring AS'!C102+'NEMI Forsikring'!C102+'Nordea Liv '!C102+'Oslo Pensjonsforsikring'!C102+'SHB Liv'!C102+'Silver Pensjonsforsikring AS'!C102+'Sparebank 1'!C102+'Storebrand Livsforsikring'!C102+'Telenor Forsikring'!C102+'Tryg Forsikring'!C102,"")</f>
        <v/>
      </c>
      <c r="D102" s="25" t="str">
        <f t="shared" si="21"/>
        <v/>
      </c>
      <c r="E102" s="185" t="str">
        <f>IF($A$1=4,'ACE European Group'!F102+'Danica Pensjonsforsikring'!F102+'DNB Livsforsikring'!F102+'Eika Forsikring AS'!F102+'Frende Livsforsikring'!F102+'Frende Skadeforsikring'!F102+'Gjensidige Forsikring'!F102+'Gjensidige Pensjon'!F102+'Handelsbanken Liv'!F102+'If Skadeforsikring NUF'!F102+KLP!F102+'KLP Bedriftspensjon AS'!F102+'KLP Skadeforsikring AS'!F102+'Landbruksforsikring AS'!F102+'NEMI Forsikring'!F102+'Nordea Liv '!F102+'Oslo Pensjonsforsikring'!F102+'SHB Liv'!F102+'Silver Pensjonsforsikring AS'!F102+'Sparebank 1'!F102+'Storebrand Livsforsikring'!F102+'Telenor Forsikring'!F102+'Tryg Forsikring'!F102,"")</f>
        <v/>
      </c>
      <c r="F102" s="185" t="str">
        <f>IF($A$1=4,'ACE European Group'!G102+'Danica Pensjonsforsikring'!G102+'DNB Livsforsikring'!G102+'Eika Forsikring AS'!G102+'Frende Livsforsikring'!G102+'Frende Skadeforsikring'!G102+'Gjensidige Forsikring'!G102+'Gjensidige Pensjon'!G102+'Handelsbanken Liv'!G102+'If Skadeforsikring NUF'!G102+KLP!G102+'KLP Bedriftspensjon AS'!G102+'KLP Skadeforsikring AS'!G102+'Landbruksforsikring AS'!G102+'NEMI Forsikring'!G102+'Nordea Liv '!G102+'Oslo Pensjonsforsikring'!G102+'SHB Liv'!G102+'Silver Pensjonsforsikring AS'!G102+'Sparebank 1'!G102+'Storebrand Livsforsikring'!G102+'Telenor Forsikring'!G102+'Tryg Forsikring'!G102,"")</f>
        <v/>
      </c>
      <c r="G102" s="163" t="str">
        <f t="shared" si="22"/>
        <v/>
      </c>
      <c r="H102" s="664">
        <f t="shared" si="17"/>
        <v>0</v>
      </c>
      <c r="I102" s="664">
        <f t="shared" si="18"/>
        <v>0</v>
      </c>
      <c r="J102" s="21"/>
    </row>
    <row r="103" spans="1:10" ht="15.75" customHeight="1" x14ac:dyDescent="0.2">
      <c r="A103" s="652" t="s">
        <v>12</v>
      </c>
      <c r="B103" s="233">
        <f>'ACE European Group'!B103+'Danica Pensjonsforsikring'!B103+'DNB Livsforsikring'!B103+'Eika Forsikring AS'!B103+'Frende Livsforsikring'!B103+'Frende Skadeforsikring'!B103+'Gjensidige Forsikring'!B103+'Gjensidige Pensjon'!B103+'Handelsbanken Liv'!B103+'If Skadeforsikring NUF'!B103+KLP!B103+'KLP Bedriftspensjon AS'!B103+'KLP Skadeforsikring AS'!B103+'Landbruksforsikring AS'!B103+'NEMI Forsikring'!B103+'Nordea Liv '!B103+'Oslo Pensjonsforsikring'!B103+'SHB Liv'!B103+'Silver Pensjonsforsikring AS'!B103+'Sparebank 1'!B103+'Storebrand Livsforsikring'!B103+'Telenor Forsikring'!B103+'Tryg Forsikring'!B103</f>
        <v>0</v>
      </c>
      <c r="C103" s="233">
        <f>'ACE European Group'!C103+'Danica Pensjonsforsikring'!C103+'DNB Livsforsikring'!C103+'Eika Forsikring AS'!C103+'Frende Livsforsikring'!C103+'Frende Skadeforsikring'!C103+'Gjensidige Forsikring'!C103+'Gjensidige Pensjon'!C103+'Handelsbanken Liv'!C103+'If Skadeforsikring NUF'!C103+KLP!C103+'KLP Bedriftspensjon AS'!C103+'KLP Skadeforsikring AS'!C103+'Landbruksforsikring AS'!C103+'NEMI Forsikring'!C103+'Nordea Liv '!C103+'Oslo Pensjonsforsikring'!C103+'SHB Liv'!C103+'Silver Pensjonsforsikring AS'!C103+'Sparebank 1'!C103+'Storebrand Livsforsikring'!C103+'Telenor Forsikring'!C103+'Tryg Forsikring'!C103</f>
        <v>0</v>
      </c>
      <c r="D103" s="25" t="str">
        <f t="shared" si="21"/>
        <v/>
      </c>
      <c r="E103" s="185" t="str">
        <f>IF($A$1=4,'ACE European Group'!F103+'Danica Pensjonsforsikring'!F103+'DNB Livsforsikring'!F103+'Eika Forsikring AS'!F103+'Frende Livsforsikring'!F103+'Frende Skadeforsikring'!F103+'Gjensidige Forsikring'!F103+'Gjensidige Pensjon'!F103+'Handelsbanken Liv'!F103+'If Skadeforsikring NUF'!F103+KLP!F103+'KLP Bedriftspensjon AS'!F103+'KLP Skadeforsikring AS'!F103+'Landbruksforsikring AS'!F103+'NEMI Forsikring'!F103+'Nordea Liv '!F103+'Oslo Pensjonsforsikring'!F103+'SHB Liv'!F103+'Silver Pensjonsforsikring AS'!F103+'Sparebank 1'!F103+'Storebrand Livsforsikring'!F103+'Telenor Forsikring'!F103+'Tryg Forsikring'!F103,"")</f>
        <v/>
      </c>
      <c r="F103" s="185" t="str">
        <f>IF($A$1=4,'ACE European Group'!G103+'Danica Pensjonsforsikring'!G103+'DNB Livsforsikring'!G103+'Eika Forsikring AS'!G103+'Frende Livsforsikring'!G103+'Frende Skadeforsikring'!G103+'Gjensidige Forsikring'!G103+'Gjensidige Pensjon'!G103+'Handelsbanken Liv'!G103+'If Skadeforsikring NUF'!G103+KLP!G103+'KLP Bedriftspensjon AS'!G103+'KLP Skadeforsikring AS'!G103+'Landbruksforsikring AS'!G103+'NEMI Forsikring'!G103+'Nordea Liv '!G103+'Oslo Pensjonsforsikring'!G103+'SHB Liv'!G103+'Silver Pensjonsforsikring AS'!G103+'Sparebank 1'!G103+'Storebrand Livsforsikring'!G103+'Telenor Forsikring'!G103+'Tryg Forsikring'!G103,"")</f>
        <v/>
      </c>
      <c r="G103" s="163" t="str">
        <f t="shared" si="22"/>
        <v/>
      </c>
      <c r="H103" s="664">
        <f t="shared" si="17"/>
        <v>0</v>
      </c>
      <c r="I103" s="664">
        <f t="shared" si="18"/>
        <v>0</v>
      </c>
      <c r="J103" s="21"/>
    </row>
    <row r="104" spans="1:10" ht="15.75" customHeight="1" x14ac:dyDescent="0.2">
      <c r="A104" s="652" t="s">
        <v>13</v>
      </c>
      <c r="B104" s="233">
        <f>'ACE European Group'!B104+'Danica Pensjonsforsikring'!B104+'DNB Livsforsikring'!B104+'Eika Forsikring AS'!B104+'Frende Livsforsikring'!B104+'Frende Skadeforsikring'!B104+'Gjensidige Forsikring'!B104+'Gjensidige Pensjon'!B104+'Handelsbanken Liv'!B104+'If Skadeforsikring NUF'!B104+KLP!B104+'KLP Bedriftspensjon AS'!B104+'KLP Skadeforsikring AS'!B104+'Landbruksforsikring AS'!B104+'NEMI Forsikring'!B104+'Nordea Liv '!B104+'Oslo Pensjonsforsikring'!B104+'SHB Liv'!B104+'Silver Pensjonsforsikring AS'!B104+'Sparebank 1'!B104+'Storebrand Livsforsikring'!B104+'Telenor Forsikring'!B104+'Tryg Forsikring'!B104</f>
        <v>0</v>
      </c>
      <c r="C104" s="233">
        <f>'ACE European Group'!C104+'Danica Pensjonsforsikring'!C104+'DNB Livsforsikring'!C104+'Eika Forsikring AS'!C104+'Frende Livsforsikring'!C104+'Frende Skadeforsikring'!C104+'Gjensidige Forsikring'!C104+'Gjensidige Pensjon'!C104+'Handelsbanken Liv'!C104+'If Skadeforsikring NUF'!C104+KLP!C104+'KLP Bedriftspensjon AS'!C104+'KLP Skadeforsikring AS'!C104+'Landbruksforsikring AS'!C104+'NEMI Forsikring'!C104+'Nordea Liv '!C104+'Oslo Pensjonsforsikring'!C104+'SHB Liv'!C104+'Silver Pensjonsforsikring AS'!C104+'Sparebank 1'!C104+'Storebrand Livsforsikring'!C104+'Telenor Forsikring'!C104+'Tryg Forsikring'!C104</f>
        <v>0</v>
      </c>
      <c r="D104" s="25" t="str">
        <f t="shared" si="21"/>
        <v/>
      </c>
      <c r="E104" s="185" t="str">
        <f>IF($A$1=4,'ACE European Group'!F104+'Danica Pensjonsforsikring'!F104+'DNB Livsforsikring'!F104+'Eika Forsikring AS'!F104+'Frende Livsforsikring'!F104+'Frende Skadeforsikring'!F104+'Gjensidige Forsikring'!F104+'Gjensidige Pensjon'!F104+'Handelsbanken Liv'!F104+'If Skadeforsikring NUF'!F104+KLP!F104+'KLP Bedriftspensjon AS'!F104+'KLP Skadeforsikring AS'!F104+'Landbruksforsikring AS'!F104+'NEMI Forsikring'!F104+'Nordea Liv '!F104+'Oslo Pensjonsforsikring'!F104+'SHB Liv'!F104+'Silver Pensjonsforsikring AS'!F104+'Sparebank 1'!F104+'Storebrand Livsforsikring'!F104+'Telenor Forsikring'!F104+'Tryg Forsikring'!F104,"")</f>
        <v/>
      </c>
      <c r="F104" s="185" t="str">
        <f>IF($A$1=4,'ACE European Group'!G104+'Danica Pensjonsforsikring'!G104+'DNB Livsforsikring'!G104+'Eika Forsikring AS'!G104+'Frende Livsforsikring'!G104+'Frende Skadeforsikring'!G104+'Gjensidige Forsikring'!G104+'Gjensidige Pensjon'!G104+'Handelsbanken Liv'!G104+'If Skadeforsikring NUF'!G104+KLP!G104+'KLP Bedriftspensjon AS'!G104+'KLP Skadeforsikring AS'!G104+'Landbruksforsikring AS'!G104+'NEMI Forsikring'!G104+'Nordea Liv '!G104+'Oslo Pensjonsforsikring'!G104+'SHB Liv'!G104+'Silver Pensjonsforsikring AS'!G104+'Sparebank 1'!G104+'Storebrand Livsforsikring'!G104+'Telenor Forsikring'!G104+'Tryg Forsikring'!G104,"")</f>
        <v/>
      </c>
      <c r="G104" s="163" t="str">
        <f t="shared" si="22"/>
        <v/>
      </c>
      <c r="H104" s="664">
        <f t="shared" si="17"/>
        <v>0</v>
      </c>
      <c r="I104" s="664">
        <f t="shared" si="18"/>
        <v>0</v>
      </c>
      <c r="J104" s="21"/>
    </row>
    <row r="105" spans="1:10" ht="15.75" customHeight="1" x14ac:dyDescent="0.2">
      <c r="A105" s="19" t="s">
        <v>397</v>
      </c>
      <c r="B105" s="232">
        <f>'ACE European Group'!B105+'Danica Pensjonsforsikring'!B105+'DNB Livsforsikring'!B105+'Eika Forsikring AS'!B105+'Frende Livsforsikring'!B105+'Frende Skadeforsikring'!B105+'Gjensidige Forsikring'!B105+'Gjensidige Pensjon'!B105+'Handelsbanken Liv'!B105+'If Skadeforsikring NUF'!B105+KLP!B105+'KLP Bedriftspensjon AS'!B105+'KLP Skadeforsikring AS'!B105+'Landbruksforsikring AS'!B105+'NEMI Forsikring'!B105+'Nordea Liv '!B105+'Oslo Pensjonsforsikring'!B105+'SHB Liv'!B105+'Silver Pensjonsforsikring AS'!B105+'Sparebank 1'!B105+'Storebrand Livsforsikring'!B105+'Telenor Forsikring'!B105+'Tryg Forsikring'!B105</f>
        <v>4849895.727</v>
      </c>
      <c r="C105" s="232">
        <f>'ACE European Group'!C105+'Danica Pensjonsforsikring'!C105+'DNB Livsforsikring'!C105+'Eika Forsikring AS'!C105+'Frende Livsforsikring'!C105+'Frende Skadeforsikring'!C105+'Gjensidige Forsikring'!C105+'Gjensidige Pensjon'!C105+'Handelsbanken Liv'!C105+'If Skadeforsikring NUF'!C105+KLP!C105+'KLP Bedriftspensjon AS'!C105+'KLP Skadeforsikring AS'!C105+'Landbruksforsikring AS'!C105+'NEMI Forsikring'!C105+'Nordea Liv '!C105+'Oslo Pensjonsforsikring'!C105+'SHB Liv'!C105+'Silver Pensjonsforsikring AS'!C105+'Sparebank 1'!C105+'Storebrand Livsforsikring'!C105+'Telenor Forsikring'!C105+'Tryg Forsikring'!C105</f>
        <v>4885774.3729999997</v>
      </c>
      <c r="D105" s="21">
        <f>IF(B105=0, "    ---- ", IF(ABS(ROUND(100/B105*C105-100,1))&lt;999,ROUND(100/B105*C105-100,1),IF(ROUND(100/B105*C105-100,1)&gt;999,999,-999)))</f>
        <v>0.7</v>
      </c>
      <c r="E105" s="42">
        <f>'ACE European Group'!F105+'Danica Pensjonsforsikring'!F105+'DNB Livsforsikring'!F105+'Eika Forsikring AS'!F105+'Frende Livsforsikring'!F105+'Frende Skadeforsikring'!F105+'Gjensidige Forsikring'!F105+'Gjensidige Pensjon'!F105+'Handelsbanken Liv'!F105+'If Skadeforsikring NUF'!F105+KLP!F105+'KLP Bedriftspensjon AS'!F105+'KLP Skadeforsikring AS'!F105+'Landbruksforsikring AS'!F105+'NEMI Forsikring'!F105+'Nordea Liv '!F105+'Oslo Pensjonsforsikring'!F105+'SHB Liv'!F105+'Silver Pensjonsforsikring AS'!F105+'Sparebank 1'!F105+'Storebrand Livsforsikring'!F105+'Telenor Forsikring'!F105+'Tryg Forsikring'!F105</f>
        <v>438532.82603999996</v>
      </c>
      <c r="F105" s="42">
        <f>'ACE European Group'!G105+'Danica Pensjonsforsikring'!G105+'DNB Livsforsikring'!G105+'Eika Forsikring AS'!G105+'Frende Livsforsikring'!G105+'Frende Skadeforsikring'!G105+'Gjensidige Forsikring'!G105+'Gjensidige Pensjon'!G105+'Handelsbanken Liv'!G105+'If Skadeforsikring NUF'!G105+KLP!G105+'KLP Bedriftspensjon AS'!G105+'KLP Skadeforsikring AS'!G105+'Landbruksforsikring AS'!G105+'NEMI Forsikring'!G105+'Nordea Liv '!G105+'Oslo Pensjonsforsikring'!G105+'SHB Liv'!G105+'Silver Pensjonsforsikring AS'!G105+'Sparebank 1'!G105+'Storebrand Livsforsikring'!G105+'Telenor Forsikring'!G105+'Tryg Forsikring'!G105</f>
        <v>549552.5520100001</v>
      </c>
      <c r="G105" s="163">
        <f>IF(E105=0, "    ---- ", IF(ABS(ROUND(100/E105*F105-100,1))&lt;999,ROUND(100/E105*F105-100,1),IF(ROUND(100/E105*F105-100,1)&gt;999,999,-999)))</f>
        <v>25.3</v>
      </c>
      <c r="H105" s="235">
        <f t="shared" si="17"/>
        <v>5288428.5530399997</v>
      </c>
      <c r="I105" s="235">
        <f t="shared" si="18"/>
        <v>5435326.9250099994</v>
      </c>
      <c r="J105" s="21">
        <f t="shared" si="12"/>
        <v>2.8</v>
      </c>
    </row>
    <row r="106" spans="1:10" ht="15.75" customHeight="1" x14ac:dyDescent="0.2">
      <c r="A106" s="19" t="s">
        <v>416</v>
      </c>
      <c r="B106" s="232">
        <f>'ACE European Group'!B106+'Danica Pensjonsforsikring'!B106+'DNB Livsforsikring'!B106+'Eika Forsikring AS'!B106+'Frende Livsforsikring'!B106+'Frende Skadeforsikring'!B106+'Gjensidige Forsikring'!B106+'Gjensidige Pensjon'!B106+'Handelsbanken Liv'!B106+'If Skadeforsikring NUF'!B106+KLP!B106+'KLP Bedriftspensjon AS'!B106+'KLP Skadeforsikring AS'!B106+'Landbruksforsikring AS'!B106+'NEMI Forsikring'!B106+'Nordea Liv '!B106+'Oslo Pensjonsforsikring'!B106+'SHB Liv'!B106+'Silver Pensjonsforsikring AS'!B106+'Sparebank 1'!B106+'Storebrand Livsforsikring'!B106+'Telenor Forsikring'!B106+'Tryg Forsikring'!B106</f>
        <v>268892621.49454999</v>
      </c>
      <c r="C106" s="232">
        <f>'ACE European Group'!C106+'Danica Pensjonsforsikring'!C106+'DNB Livsforsikring'!C106+'Eika Forsikring AS'!C106+'Frende Livsforsikring'!C106+'Frende Skadeforsikring'!C106+'Gjensidige Forsikring'!C106+'Gjensidige Pensjon'!C106+'Handelsbanken Liv'!C106+'If Skadeforsikring NUF'!C106+KLP!C106+'KLP Bedriftspensjon AS'!C106+'KLP Skadeforsikring AS'!C106+'Landbruksforsikring AS'!C106+'NEMI Forsikring'!C106+'Nordea Liv '!C106+'Oslo Pensjonsforsikring'!C106+'SHB Liv'!C106+'Silver Pensjonsforsikring AS'!C106+'Sparebank 1'!C106+'Storebrand Livsforsikring'!C106+'Telenor Forsikring'!C106+'Tryg Forsikring'!C106</f>
        <v>297706001.8227132</v>
      </c>
      <c r="D106" s="21">
        <f>IF(B106=0, "    ---- ", IF(ABS(ROUND(100/B106*C106-100,1))&lt;999,ROUND(100/B106*C106-100,1),IF(ROUND(100/B106*C106-100,1)&gt;999,999,-999)))</f>
        <v>10.7</v>
      </c>
      <c r="E106" s="42">
        <f>'ACE European Group'!F106+'Danica Pensjonsforsikring'!F106+'DNB Livsforsikring'!F106+'Eika Forsikring AS'!F106+'Frende Livsforsikring'!F106+'Frende Skadeforsikring'!F106+'Gjensidige Forsikring'!F106+'Gjensidige Pensjon'!F106+'Handelsbanken Liv'!F106+'If Skadeforsikring NUF'!F106+KLP!F106+'KLP Bedriftspensjon AS'!F106+'KLP Skadeforsikring AS'!F106+'Landbruksforsikring AS'!F106+'NEMI Forsikring'!F106+'Nordea Liv '!F106+'Oslo Pensjonsforsikring'!F106+'SHB Liv'!F106+'Silver Pensjonsforsikring AS'!F106+'Sparebank 1'!F106+'Storebrand Livsforsikring'!F106+'Telenor Forsikring'!F106+'Tryg Forsikring'!F106</f>
        <v>5469024.7310000006</v>
      </c>
      <c r="F106" s="42">
        <f>'ACE European Group'!G106+'Danica Pensjonsforsikring'!G106+'DNB Livsforsikring'!G106+'Eika Forsikring AS'!G106+'Frende Livsforsikring'!G106+'Frende Skadeforsikring'!G106+'Gjensidige Forsikring'!G106+'Gjensidige Pensjon'!G106+'Handelsbanken Liv'!G106+'If Skadeforsikring NUF'!G106+KLP!G106+'KLP Bedriftspensjon AS'!G106+'KLP Skadeforsikring AS'!G106+'Landbruksforsikring AS'!G106+'NEMI Forsikring'!G106+'Nordea Liv '!G106+'Oslo Pensjonsforsikring'!G106+'SHB Liv'!G106+'Silver Pensjonsforsikring AS'!G106+'Sparebank 1'!G106+'Storebrand Livsforsikring'!G106+'Telenor Forsikring'!G106+'Tryg Forsikring'!G106</f>
        <v>6845177.7409999995</v>
      </c>
      <c r="G106" s="163">
        <f>IF(E106=0, "    ---- ", IF(ABS(ROUND(100/E106*F106-100,1))&lt;999,ROUND(100/E106*F106-100,1),IF(ROUND(100/E106*F106-100,1)&gt;999,999,-999)))</f>
        <v>25.2</v>
      </c>
      <c r="H106" s="235">
        <f t="shared" si="17"/>
        <v>274361646.22555</v>
      </c>
      <c r="I106" s="235">
        <f t="shared" si="18"/>
        <v>304551179.56371319</v>
      </c>
      <c r="J106" s="21">
        <f t="shared" si="12"/>
        <v>11</v>
      </c>
    </row>
    <row r="107" spans="1:10" ht="15.75" customHeight="1" x14ac:dyDescent="0.2">
      <c r="A107" s="19" t="s">
        <v>414</v>
      </c>
      <c r="B107" s="232">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Pensjonsforsikring'!B107+'SHB Liv'!B107+'Silver Pensjonsforsikring AS'!B107+'Sparebank 1'!B107+'Storebrand Livsforsikring'!B107+'Telenor Forsikring'!B107+'Tryg Forsikring'!B107</f>
        <v>738037.32629999996</v>
      </c>
      <c r="C107" s="232">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Pensjonsforsikring'!C107+'SHB Liv'!C107+'Silver Pensjonsforsikring AS'!C107+'Sparebank 1'!C107+'Storebrand Livsforsikring'!C107+'Telenor Forsikring'!C107+'Tryg Forsikring'!C107</f>
        <v>769353.78685999999</v>
      </c>
      <c r="D107" s="21">
        <f>IF(B107=0, "    ---- ", IF(ABS(ROUND(100/B107*C107-100,1))&lt;999,ROUND(100/B107*C107-100,1),IF(ROUND(100/B107*C107-100,1)&gt;999,999,-999)))</f>
        <v>4.2</v>
      </c>
      <c r="E107" s="42">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Pensjonsforsikring'!F107+'SHB Liv'!F107+'Silver Pensjonsforsikring AS'!F107+'Sparebank 1'!F107+'Storebrand Livsforsikring'!F107+'Telenor Forsikring'!F107+'Tryg Forsikring'!F107</f>
        <v>51329942.175992146</v>
      </c>
      <c r="F107" s="42">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Pensjonsforsikring'!G107+'SHB Liv'!G107+'Silver Pensjonsforsikring AS'!G107+'Sparebank 1'!G107+'Storebrand Livsforsikring'!G107+'Telenor Forsikring'!G107+'Tryg Forsikring'!G107</f>
        <v>67080632.567581207</v>
      </c>
      <c r="G107" s="163">
        <f>IF(E107=0, "    ---- ", IF(ABS(ROUND(100/E107*F107-100,1))&lt;999,ROUND(100/E107*F107-100,1),IF(ROUND(100/E107*F107-100,1)&gt;999,999,-999)))</f>
        <v>30.7</v>
      </c>
      <c r="H107" s="235">
        <f t="shared" si="17"/>
        <v>52067979.502292149</v>
      </c>
      <c r="I107" s="235">
        <f t="shared" si="18"/>
        <v>67849986.354441211</v>
      </c>
      <c r="J107" s="21">
        <f t="shared" si="12"/>
        <v>30.3</v>
      </c>
    </row>
    <row r="108" spans="1:10" ht="15.75" customHeight="1" x14ac:dyDescent="0.2">
      <c r="A108" s="19" t="s">
        <v>415</v>
      </c>
      <c r="B108" s="232">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Pensjonsforsikring'!B108+'SHB Liv'!B108+'Silver Pensjonsforsikring AS'!B108+'Sparebank 1'!B108+'Storebrand Livsforsikring'!B108+'Telenor Forsikring'!B108+'Tryg Forsikring'!B108</f>
        <v>0</v>
      </c>
      <c r="C108" s="232">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Pensjonsforsikring'!C108+'SHB Liv'!C108+'Silver Pensjonsforsikring AS'!C108+'Sparebank 1'!C108+'Storebrand Livsforsikring'!C108+'Telenor Forsikring'!C108+'Tryg Forsikring'!C108</f>
        <v>9775.8767399999997</v>
      </c>
      <c r="D108" s="21" t="str">
        <f>IF(B108=0, "    ---- ", IF(ABS(ROUND(100/B108*C108-100,1))&lt;999,ROUND(100/B108*C108-100,1),IF(ROUND(100/B108*C108-100,1)&gt;999,999,-999)))</f>
        <v xml:space="preserve">    ---- </v>
      </c>
      <c r="E108" s="42">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Pensjonsforsikring'!F108+'SHB Liv'!F108+'Silver Pensjonsforsikring AS'!F108+'Sparebank 1'!F108+'Storebrand Livsforsikring'!F108+'Telenor Forsikring'!F108+'Tryg Forsikring'!F108</f>
        <v>0</v>
      </c>
      <c r="F108" s="42">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Pensjonsforsikring'!G108+'SHB Liv'!G108+'Silver Pensjonsforsikring AS'!G108+'Sparebank 1'!G108+'Storebrand Livsforsikring'!G108+'Telenor Forsikring'!G108+'Tryg Forsikring'!G108</f>
        <v>0</v>
      </c>
      <c r="G108" s="163" t="str">
        <f>IF(E108=0, "    ---- ", IF(ABS(ROUND(100/E108*F108-100,1))&lt;999,ROUND(100/E108*F108-100,1),IF(ROUND(100/E108*F108-100,1)&gt;999,999,-999)))</f>
        <v xml:space="preserve">    ---- </v>
      </c>
      <c r="H108" s="235">
        <f t="shared" si="17"/>
        <v>0</v>
      </c>
      <c r="I108" s="235">
        <f t="shared" si="18"/>
        <v>9775.8767399999997</v>
      </c>
      <c r="J108" s="21" t="str">
        <f t="shared" si="12"/>
        <v xml:space="preserve">    ---- </v>
      </c>
    </row>
    <row r="109" spans="1:10" s="41" customFormat="1" ht="15.75" customHeight="1" x14ac:dyDescent="0.2">
      <c r="A109" s="13" t="s">
        <v>399</v>
      </c>
      <c r="B109" s="297">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Pensjonsforsikring'!B109+'SHB Liv'!B109+'Silver Pensjonsforsikring AS'!B109+'Sparebank 1'!B109+'Storebrand Livsforsikring'!B109+'Telenor Forsikring'!B109+'Tryg Forsikring'!B109</f>
        <v>717586.25019000005</v>
      </c>
      <c r="C109" s="297">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Pensjonsforsikring'!C109+'SHB Liv'!C109+'Silver Pensjonsforsikring AS'!C109+'Sparebank 1'!C109+'Storebrand Livsforsikring'!C109+'Telenor Forsikring'!C109+'Tryg Forsikring'!C109</f>
        <v>465455.61206000001</v>
      </c>
      <c r="D109" s="22">
        <f>IF(B109=0, "    ---- ", IF(ABS(ROUND(100/B109*C109-100,1))&lt;999,ROUND(100/B109*C109-100,1),IF(ROUND(100/B109*C109-100,1)&gt;999,999,-999)))</f>
        <v>-35.1</v>
      </c>
      <c r="E109" s="234">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Pensjonsforsikring'!F109+'SHB Liv'!F109+'Silver Pensjonsforsikring AS'!F109+'Sparebank 1'!F109+'Storebrand Livsforsikring'!F109+'Telenor Forsikring'!F109+'Tryg Forsikring'!F109</f>
        <v>4478950.7775999997</v>
      </c>
      <c r="F109" s="234">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Pensjonsforsikring'!G109+'SHB Liv'!G109+'Silver Pensjonsforsikring AS'!G109+'Sparebank 1'!G109+'Storebrand Livsforsikring'!G109+'Telenor Forsikring'!G109+'Tryg Forsikring'!G109</f>
        <v>8217634.9584799996</v>
      </c>
      <c r="G109" s="168">
        <f>IF(E109=0, "    ---- ", IF(ABS(ROUND(100/E109*F109-100,1))&lt;999,ROUND(100/E109*F109-100,1),IF(ROUND(100/E109*F109-100,1)&gt;999,999,-999)))</f>
        <v>83.5</v>
      </c>
      <c r="H109" s="315">
        <f t="shared" si="17"/>
        <v>5196537.0277899997</v>
      </c>
      <c r="I109" s="315">
        <f t="shared" si="18"/>
        <v>8683090.5705399998</v>
      </c>
      <c r="J109" s="22">
        <f t="shared" si="12"/>
        <v>67.099999999999994</v>
      </c>
    </row>
    <row r="110" spans="1:10" ht="15.75" customHeight="1" x14ac:dyDescent="0.2">
      <c r="A110" s="19" t="s">
        <v>9</v>
      </c>
      <c r="B110" s="232">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Pensjonsforsikring'!B110+'SHB Liv'!B110+'Silver Pensjonsforsikring AS'!B110+'Sparebank 1'!B110+'Storebrand Livsforsikring'!B110+'Telenor Forsikring'!B110+'Tryg Forsikring'!B110</f>
        <v>713968.30865000002</v>
      </c>
      <c r="C110" s="232">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Pensjonsforsikring'!C110+'SHB Liv'!C110+'Silver Pensjonsforsikring AS'!C110+'Sparebank 1'!C110+'Storebrand Livsforsikring'!C110+'Telenor Forsikring'!C110+'Tryg Forsikring'!C110</f>
        <v>440407.75779999996</v>
      </c>
      <c r="D110" s="21">
        <f t="shared" ref="D110:D124" si="23">IF(B110=0, "    ---- ", IF(ABS(ROUND(100/B110*C110-100,1))&lt;999,ROUND(100/B110*C110-100,1),IF(ROUND(100/B110*C110-100,1)&gt;999,999,-999)))</f>
        <v>-38.299999999999997</v>
      </c>
      <c r="E110" s="42">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Pensjonsforsikring'!F110+'SHB Liv'!F110+'Silver Pensjonsforsikring AS'!F110+'Sparebank 1'!F110+'Storebrand Livsforsikring'!F110+'Telenor Forsikring'!F110+'Tryg Forsikring'!F110</f>
        <v>0</v>
      </c>
      <c r="F110" s="42">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Pensjonsforsikring'!G110+'SHB Liv'!G110+'Silver Pensjonsforsikring AS'!G110+'Sparebank 1'!G110+'Storebrand Livsforsikring'!G110+'Telenor Forsikring'!G110+'Tryg Forsikring'!G110</f>
        <v>0</v>
      </c>
      <c r="G110" s="163" t="str">
        <f t="shared" ref="G110:G124" si="24">IF(E110=0, "    ---- ", IF(ABS(ROUND(100/E110*F110-100,1))&lt;999,ROUND(100/E110*F110-100,1),IF(ROUND(100/E110*F110-100,1)&gt;999,999,-999)))</f>
        <v xml:space="preserve">    ---- </v>
      </c>
      <c r="H110" s="235">
        <f t="shared" ref="H110:H124" si="25">SUM(B110,E110)</f>
        <v>713968.30865000002</v>
      </c>
      <c r="I110" s="235">
        <f t="shared" ref="I110:I124" si="26">SUM(C110,F110)</f>
        <v>440407.75779999996</v>
      </c>
      <c r="J110" s="21">
        <f t="shared" ref="J110:J124" si="27">IF(H110=0, "    ---- ", IF(ABS(ROUND(100/H110*I110-100,1))&lt;999,ROUND(100/H110*I110-100,1),IF(ROUND(100/H110*I110-100,1)&gt;999,999,-999)))</f>
        <v>-38.299999999999997</v>
      </c>
    </row>
    <row r="111" spans="1:10" ht="15.75" customHeight="1" x14ac:dyDescent="0.2">
      <c r="A111" s="19" t="s">
        <v>10</v>
      </c>
      <c r="B111" s="232">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Pensjonsforsikring'!B111+'SHB Liv'!B111+'Silver Pensjonsforsikring AS'!B111+'Sparebank 1'!B111+'Storebrand Livsforsikring'!B111+'Telenor Forsikring'!B111+'Tryg Forsikring'!B111</f>
        <v>3617.9415399999998</v>
      </c>
      <c r="C111" s="232">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Pensjonsforsikring'!C111+'SHB Liv'!C111+'Silver Pensjonsforsikring AS'!C111+'Sparebank 1'!C111+'Storebrand Livsforsikring'!C111+'Telenor Forsikring'!C111+'Tryg Forsikring'!C111</f>
        <v>2691.8090000000002</v>
      </c>
      <c r="D111" s="21">
        <f t="shared" si="23"/>
        <v>-25.6</v>
      </c>
      <c r="E111" s="42">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Pensjonsforsikring'!F111+'SHB Liv'!F111+'Silver Pensjonsforsikring AS'!F111+'Sparebank 1'!F111+'Storebrand Livsforsikring'!F111+'Telenor Forsikring'!F111+'Tryg Forsikring'!F111</f>
        <v>4478950.7775999997</v>
      </c>
      <c r="F111" s="42">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Pensjonsforsikring'!G111+'SHB Liv'!G111+'Silver Pensjonsforsikring AS'!G111+'Sparebank 1'!G111+'Storebrand Livsforsikring'!G111+'Telenor Forsikring'!G111+'Tryg Forsikring'!G111</f>
        <v>8217634.9584799996</v>
      </c>
      <c r="G111" s="168">
        <f t="shared" si="24"/>
        <v>83.5</v>
      </c>
      <c r="H111" s="235">
        <f t="shared" si="25"/>
        <v>4482568.7191399997</v>
      </c>
      <c r="I111" s="235">
        <f t="shared" si="26"/>
        <v>8220326.7674799999</v>
      </c>
      <c r="J111" s="22">
        <f t="shared" si="27"/>
        <v>83.4</v>
      </c>
    </row>
    <row r="112" spans="1:10" ht="15.75" customHeight="1" x14ac:dyDescent="0.2">
      <c r="A112" s="19" t="s">
        <v>27</v>
      </c>
      <c r="B112" s="232">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Pensjonsforsikring'!B112+'SHB Liv'!B112+'Silver Pensjonsforsikring AS'!B112+'Sparebank 1'!B112+'Storebrand Livsforsikring'!B112+'Telenor Forsikring'!B112+'Tryg Forsikring'!B112</f>
        <v>0</v>
      </c>
      <c r="C112" s="232">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Pensjonsforsikring'!C112+'SHB Liv'!C112+'Silver Pensjonsforsikring AS'!C112+'Sparebank 1'!C112+'Storebrand Livsforsikring'!C112+'Telenor Forsikring'!C112+'Tryg Forsikring'!C112</f>
        <v>22356.045259999999</v>
      </c>
      <c r="D112" s="21" t="str">
        <f t="shared" si="23"/>
        <v xml:space="preserve">    ---- </v>
      </c>
      <c r="E112" s="42">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Pensjonsforsikring'!F112+'SHB Liv'!F112+'Silver Pensjonsforsikring AS'!F112+'Sparebank 1'!F112+'Storebrand Livsforsikring'!F112+'Telenor Forsikring'!F112+'Tryg Forsikring'!F112</f>
        <v>0</v>
      </c>
      <c r="F112" s="42">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Pensjonsforsikring'!G112+'SHB Liv'!G112+'Silver Pensjonsforsikring AS'!G112+'Sparebank 1'!G112+'Storebrand Livsforsikring'!G112+'Telenor Forsikring'!G112+'Tryg Forsikring'!G112</f>
        <v>0</v>
      </c>
      <c r="G112" s="168" t="str">
        <f t="shared" si="24"/>
        <v xml:space="preserve">    ---- </v>
      </c>
      <c r="H112" s="235">
        <f t="shared" si="25"/>
        <v>0</v>
      </c>
      <c r="I112" s="235">
        <f t="shared" si="26"/>
        <v>22356.045259999999</v>
      </c>
      <c r="J112" s="22" t="str">
        <f t="shared" si="27"/>
        <v xml:space="preserve">    ---- </v>
      </c>
    </row>
    <row r="113" spans="1:10" ht="15.75" customHeight="1" x14ac:dyDescent="0.2">
      <c r="A113" s="652" t="s">
        <v>15</v>
      </c>
      <c r="B113" s="185" t="str">
        <f>IF($A$1=4,'ACE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Pensjonsforsikring'!B113+'SHB Liv'!B113+'Silver Pensjonsforsikring AS'!B113+'Sparebank 1'!B113+'Storebrand Livsforsikring'!B113+'Telenor Forsikring'!B113+'Tryg Forsikring'!B113,"")</f>
        <v/>
      </c>
      <c r="C113" s="185" t="str">
        <f>IF($A$1=4,'ACE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Pensjonsforsikring'!C113+'SHB Liv'!C113+'Silver Pensjonsforsikring AS'!C113+'Sparebank 1'!C113+'Storebrand Livsforsikring'!C113+'Telenor Forsikring'!C113+'Tryg Forsikring'!C113,"")</f>
        <v/>
      </c>
      <c r="D113" s="25" t="str">
        <f>IF($A$1=4,IF(B113=0, "    ---- ", IF(ABS(ROUND(100/B113*C113-100,1))&lt;999,ROUND(100/B113*C113-100,1),IF(ROUND(100/B113*C113-100,1)&gt;999,999,-999))),"")</f>
        <v/>
      </c>
      <c r="E113" s="185" t="str">
        <f>IF($A$1=4,'ACE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Pensjonsforsikring'!F113+'SHB Liv'!F113+'Silver Pensjonsforsikring AS'!F113+'Sparebank 1'!F113+'Storebrand Livsforsikring'!F113+'Telenor Forsikring'!F113+'Tryg Forsikring'!F113,"")</f>
        <v/>
      </c>
      <c r="F113" s="185" t="str">
        <f>IF($A$1=4,'ACE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Pensjonsforsikring'!G113+'SHB Liv'!G113+'Silver Pensjonsforsikring AS'!G113+'Sparebank 1'!G113+'Storebrand Livsforsikring'!G113+'Telenor Forsikring'!G113+'Tryg Forsikring'!G113,"")</f>
        <v/>
      </c>
      <c r="G113" s="163" t="str">
        <f>IF($A$1=4,IF(E113=0, "    ---- ", IF(ABS(ROUND(100/E113*F113-100,1))&lt;999,ROUND(100/E113*F113-100,1),IF(ROUND(100/E113*F113-100,1)&gt;999,999,-999))),"")</f>
        <v/>
      </c>
      <c r="H113" s="664">
        <f t="shared" si="25"/>
        <v>0</v>
      </c>
      <c r="I113" s="664">
        <f t="shared" si="26"/>
        <v>0</v>
      </c>
      <c r="J113" s="21"/>
    </row>
    <row r="114" spans="1:10" ht="15.75" customHeight="1" x14ac:dyDescent="0.2">
      <c r="A114" s="19" t="s">
        <v>416</v>
      </c>
      <c r="B114" s="232">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Pensjonsforsikring'!B114+'SHB Liv'!B114+'Silver Pensjonsforsikring AS'!B114+'Sparebank 1'!B114+'Storebrand Livsforsikring'!B114+'Telenor Forsikring'!B114+'Tryg Forsikring'!B114</f>
        <v>291073.36417000002</v>
      </c>
      <c r="C114" s="232">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Pensjonsforsikring'!C114+'SHB Liv'!C114+'Silver Pensjonsforsikring AS'!C114+'Sparebank 1'!C114+'Storebrand Livsforsikring'!C114+'Telenor Forsikring'!C114+'Tryg Forsikring'!C114</f>
        <v>144567.50049999999</v>
      </c>
      <c r="D114" s="21">
        <f t="shared" si="23"/>
        <v>-50.3</v>
      </c>
      <c r="E114" s="42">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Pensjonsforsikring'!F114+'SHB Liv'!F114+'Silver Pensjonsforsikring AS'!F114+'Sparebank 1'!F114+'Storebrand Livsforsikring'!F114+'Telenor Forsikring'!F114+'Tryg Forsikring'!F114</f>
        <v>55587.006000000001</v>
      </c>
      <c r="F114" s="42">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Pensjonsforsikring'!G114+'SHB Liv'!G114+'Silver Pensjonsforsikring AS'!G114+'Sparebank 1'!G114+'Storebrand Livsforsikring'!G114+'Telenor Forsikring'!G114+'Tryg Forsikring'!G114</f>
        <v>15715.843999999999</v>
      </c>
      <c r="G114" s="163">
        <f t="shared" si="24"/>
        <v>-71.7</v>
      </c>
      <c r="H114" s="235">
        <f t="shared" si="25"/>
        <v>346660.37017000001</v>
      </c>
      <c r="I114" s="235">
        <f t="shared" si="26"/>
        <v>160283.34450000001</v>
      </c>
      <c r="J114" s="21">
        <f t="shared" si="27"/>
        <v>-53.8</v>
      </c>
    </row>
    <row r="115" spans="1:10" ht="15.75" customHeight="1" x14ac:dyDescent="0.2">
      <c r="A115" s="19" t="s">
        <v>414</v>
      </c>
      <c r="B115" s="232">
        <f>'ACE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AS'!B115+'Landbruksforsikring AS'!B115+'NEMI Forsikring'!B115+'Nordea Liv '!B115+'Oslo Pensjonsforsikring'!B115+'SHB Liv'!B115+'Silver Pensjonsforsikring AS'!B115+'Sparebank 1'!B115+'Storebrand Livsforsikring'!B115+'Telenor Forsikring'!B115+'Tryg Forsikring'!B115</f>
        <v>13.897</v>
      </c>
      <c r="C115" s="232">
        <f>'ACE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AS'!C115+'Landbruksforsikring AS'!C115+'NEMI Forsikring'!C115+'Nordea Liv '!C115+'Oslo Pensjonsforsikring'!C115+'SHB Liv'!C115+'Silver Pensjonsforsikring AS'!C115+'Sparebank 1'!C115+'Storebrand Livsforsikring'!C115+'Telenor Forsikring'!C115+'Tryg Forsikring'!C115</f>
        <v>0</v>
      </c>
      <c r="D115" s="21">
        <f t="shared" si="23"/>
        <v>-100</v>
      </c>
      <c r="E115" s="42">
        <f>'ACE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AS'!F115+'Landbruksforsikring AS'!F115+'NEMI Forsikring'!F115+'Nordea Liv '!F115+'Oslo Pensjonsforsikring'!F115+'SHB Liv'!F115+'Silver Pensjonsforsikring AS'!F115+'Sparebank 1'!F115+'Storebrand Livsforsikring'!F115+'Telenor Forsikring'!F115+'Tryg Forsikring'!F115</f>
        <v>715486.97862000007</v>
      </c>
      <c r="F115" s="42">
        <f>'ACE European Group'!G115+'Danica Pensjonsforsikring'!G115+'DNB Livsforsikring'!G115+'Eika Forsikring AS'!G115+'Frende Livsforsikring'!G115+'Frende Skadeforsikring'!G115+'Gjensidige Forsikring'!G115+'Gjensidige Pensjon'!G115+'Handelsbanken Liv'!G115+'If Skadeforsikring NUF'!G115+KLP!G115+'KLP Bedriftspensjon AS'!G115+'KLP Skadeforsikring AS'!G115+'Landbruksforsikring AS'!G115+'NEMI Forsikring'!G115+'Nordea Liv '!G115+'Oslo Pensjonsforsikring'!G115+'SHB Liv'!G115+'Silver Pensjonsforsikring AS'!G115+'Sparebank 1'!G115+'Storebrand Livsforsikring'!G115+'Telenor Forsikring'!G115+'Tryg Forsikring'!G115</f>
        <v>1429797.3114</v>
      </c>
      <c r="G115" s="163">
        <f t="shared" si="24"/>
        <v>99.8</v>
      </c>
      <c r="H115" s="235">
        <f t="shared" si="25"/>
        <v>715500.87562000006</v>
      </c>
      <c r="I115" s="235">
        <f t="shared" si="26"/>
        <v>1429797.3114</v>
      </c>
      <c r="J115" s="21">
        <f t="shared" si="27"/>
        <v>99.8</v>
      </c>
    </row>
    <row r="116" spans="1:10" ht="15.75" customHeight="1" x14ac:dyDescent="0.2">
      <c r="A116" s="19" t="s">
        <v>415</v>
      </c>
      <c r="B116" s="232">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Pensjonsforsikring'!B116+'SHB Liv'!B116+'Silver Pensjonsforsikring AS'!B116+'Sparebank 1'!B116+'Storebrand Livsforsikring'!B116+'Telenor Forsikring'!B116+'Tryg Forsikring'!B116</f>
        <v>0</v>
      </c>
      <c r="C116" s="232">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Pensjonsforsikring'!C116+'SHB Liv'!C116+'Silver Pensjonsforsikring AS'!C116+'Sparebank 1'!C116+'Storebrand Livsforsikring'!C116+'Telenor Forsikring'!C116+'Tryg Forsikring'!C116</f>
        <v>0</v>
      </c>
      <c r="D116" s="21" t="str">
        <f t="shared" si="23"/>
        <v xml:space="preserve">    ---- </v>
      </c>
      <c r="E116" s="42">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Pensjonsforsikring'!F116+'SHB Liv'!F116+'Silver Pensjonsforsikring AS'!F116+'Sparebank 1'!F116+'Storebrand Livsforsikring'!F116+'Telenor Forsikring'!F116+'Tryg Forsikring'!F116</f>
        <v>0</v>
      </c>
      <c r="F116" s="42">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Pensjonsforsikring'!G116+'SHB Liv'!G116+'Silver Pensjonsforsikring AS'!G116+'Sparebank 1'!G116+'Storebrand Livsforsikring'!G116+'Telenor Forsikring'!G116+'Tryg Forsikring'!G116</f>
        <v>0</v>
      </c>
      <c r="G116" s="163" t="str">
        <f t="shared" si="24"/>
        <v xml:space="preserve">    ---- </v>
      </c>
      <c r="H116" s="235">
        <f t="shared" si="25"/>
        <v>0</v>
      </c>
      <c r="I116" s="235">
        <f t="shared" si="26"/>
        <v>0</v>
      </c>
      <c r="J116" s="21" t="str">
        <f t="shared" si="27"/>
        <v xml:space="preserve">    ---- </v>
      </c>
    </row>
    <row r="117" spans="1:10" s="41" customFormat="1" ht="15.75" customHeight="1" x14ac:dyDescent="0.2">
      <c r="A117" s="13" t="s">
        <v>400</v>
      </c>
      <c r="B117" s="315">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Pensjonsforsikring'!B117+'SHB Liv'!B117+'Silver Pensjonsforsikring AS'!B117+'Sparebank 1'!B117+'Storebrand Livsforsikring'!B117+'Telenor Forsikring'!B117+'Tryg Forsikring'!B117</f>
        <v>739317.66636000015</v>
      </c>
      <c r="C117" s="315">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Pensjonsforsikring'!C117+'SHB Liv'!C117+'Silver Pensjonsforsikring AS'!C117+'Sparebank 1'!C117+'Storebrand Livsforsikring'!C117+'Telenor Forsikring'!C117+'Tryg Forsikring'!C117</f>
        <v>377145.14794000011</v>
      </c>
      <c r="D117" s="22">
        <f t="shared" si="23"/>
        <v>-49</v>
      </c>
      <c r="E117" s="234">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Pensjonsforsikring'!F117+'SHB Liv'!F117+'Silver Pensjonsforsikring AS'!F117+'Sparebank 1'!F117+'Storebrand Livsforsikring'!F117+'Telenor Forsikring'!F117+'Tryg Forsikring'!F117</f>
        <v>4567854.3615800003</v>
      </c>
      <c r="F117" s="234">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Pensjonsforsikring'!G117+'SHB Liv'!G117+'Silver Pensjonsforsikring AS'!G117+'Sparebank 1'!G117+'Storebrand Livsforsikring'!G117+'Telenor Forsikring'!G117+'Tryg Forsikring'!G117</f>
        <v>8192791.2536800001</v>
      </c>
      <c r="G117" s="168">
        <f t="shared" si="24"/>
        <v>79.400000000000006</v>
      </c>
      <c r="H117" s="315">
        <f t="shared" si="25"/>
        <v>5307172.0279400004</v>
      </c>
      <c r="I117" s="315">
        <f t="shared" si="26"/>
        <v>8569936.4016200006</v>
      </c>
      <c r="J117" s="22">
        <f t="shared" si="27"/>
        <v>61.5</v>
      </c>
    </row>
    <row r="118" spans="1:10" ht="15.75" customHeight="1" x14ac:dyDescent="0.2">
      <c r="A118" s="19" t="s">
        <v>9</v>
      </c>
      <c r="B118" s="235">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Pensjonsforsikring'!B118+'SHB Liv'!B118+'Silver Pensjonsforsikring AS'!B118+'Sparebank 1'!B118+'Storebrand Livsforsikring'!B118+'Telenor Forsikring'!B118+'Tryg Forsikring'!B118</f>
        <v>706677.94036000001</v>
      </c>
      <c r="C118" s="235">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Pensjonsforsikring'!C118+'SHB Liv'!C118+'Silver Pensjonsforsikring AS'!C118+'Sparebank 1'!C118+'Storebrand Livsforsikring'!C118+'Telenor Forsikring'!C118+'Tryg Forsikring'!C118</f>
        <v>346838.2801400001</v>
      </c>
      <c r="D118" s="21">
        <f t="shared" si="23"/>
        <v>-50.9</v>
      </c>
      <c r="E118" s="42">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Pensjonsforsikring'!F118+'SHB Liv'!F118+'Silver Pensjonsforsikring AS'!F118+'Sparebank 1'!F118+'Storebrand Livsforsikring'!F118+'Telenor Forsikring'!F118+'Tryg Forsikring'!F118</f>
        <v>0</v>
      </c>
      <c r="F118" s="42">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Pensjonsforsikring'!G118+'SHB Liv'!G118+'Silver Pensjonsforsikring AS'!G118+'Sparebank 1'!G118+'Storebrand Livsforsikring'!G118+'Telenor Forsikring'!G118+'Tryg Forsikring'!G118</f>
        <v>0</v>
      </c>
      <c r="G118" s="163" t="str">
        <f t="shared" si="24"/>
        <v xml:space="preserve">    ---- </v>
      </c>
      <c r="H118" s="235">
        <f t="shared" si="25"/>
        <v>706677.94036000001</v>
      </c>
      <c r="I118" s="235">
        <f t="shared" si="26"/>
        <v>346838.2801400001</v>
      </c>
      <c r="J118" s="21">
        <f t="shared" si="27"/>
        <v>-50.9</v>
      </c>
    </row>
    <row r="119" spans="1:10" ht="15.75" customHeight="1" x14ac:dyDescent="0.2">
      <c r="A119" s="19" t="s">
        <v>10</v>
      </c>
      <c r="B119" s="235">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Pensjonsforsikring'!B119+'SHB Liv'!B119+'Silver Pensjonsforsikring AS'!B119+'Sparebank 1'!B119+'Storebrand Livsforsikring'!B119+'Telenor Forsikring'!B119+'Tryg Forsikring'!B119</f>
        <v>32639.725999999999</v>
      </c>
      <c r="C119" s="235">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Pensjonsforsikring'!C119+'SHB Liv'!C119+'Silver Pensjonsforsikring AS'!C119+'Sparebank 1'!C119+'Storebrand Livsforsikring'!C119+'Telenor Forsikring'!C119+'Tryg Forsikring'!C119</f>
        <v>23206.622740000003</v>
      </c>
      <c r="D119" s="21">
        <f t="shared" si="23"/>
        <v>-28.9</v>
      </c>
      <c r="E119" s="42">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Pensjonsforsikring'!F119+'SHB Liv'!F119+'Silver Pensjonsforsikring AS'!F119+'Sparebank 1'!F119+'Storebrand Livsforsikring'!F119+'Telenor Forsikring'!F119+'Tryg Forsikring'!F119</f>
        <v>4567854.3615800003</v>
      </c>
      <c r="F119" s="42">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Pensjonsforsikring'!G119+'SHB Liv'!G119+'Silver Pensjonsforsikring AS'!G119+'Sparebank 1'!G119+'Storebrand Livsforsikring'!G119+'Telenor Forsikring'!G119+'Tryg Forsikring'!G119</f>
        <v>8192791.2536800001</v>
      </c>
      <c r="G119" s="163">
        <f t="shared" si="24"/>
        <v>79.400000000000006</v>
      </c>
      <c r="H119" s="235">
        <f t="shared" si="25"/>
        <v>4600494.0875800001</v>
      </c>
      <c r="I119" s="235">
        <f t="shared" si="26"/>
        <v>8215997.8764199996</v>
      </c>
      <c r="J119" s="21">
        <f t="shared" si="27"/>
        <v>78.599999999999994</v>
      </c>
    </row>
    <row r="120" spans="1:10" ht="15.75" customHeight="1" x14ac:dyDescent="0.2">
      <c r="A120" s="19" t="s">
        <v>27</v>
      </c>
      <c r="B120" s="235">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Pensjonsforsikring'!B120+'SHB Liv'!B120+'Silver Pensjonsforsikring AS'!B120+'Sparebank 1'!B120+'Storebrand Livsforsikring'!B120+'Telenor Forsikring'!B120+'Tryg Forsikring'!B120</f>
        <v>0</v>
      </c>
      <c r="C120" s="235">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Pensjonsforsikring'!C120+'SHB Liv'!C120+'Silver Pensjonsforsikring AS'!C120+'Sparebank 1'!C120+'Storebrand Livsforsikring'!C120+'Telenor Forsikring'!C120+'Tryg Forsikring'!C120</f>
        <v>7100.2450600000002</v>
      </c>
      <c r="D120" s="21" t="str">
        <f t="shared" si="23"/>
        <v xml:space="preserve">    ---- </v>
      </c>
      <c r="E120" s="42">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Pensjonsforsikring'!F120+'SHB Liv'!F120+'Silver Pensjonsforsikring AS'!F120+'Sparebank 1'!F120+'Storebrand Livsforsikring'!F120+'Telenor Forsikring'!F120+'Tryg Forsikring'!F120</f>
        <v>0</v>
      </c>
      <c r="F120" s="42">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Pensjonsforsikring'!G120+'SHB Liv'!G120+'Silver Pensjonsforsikring AS'!G120+'Sparebank 1'!G120+'Storebrand Livsforsikring'!G120+'Telenor Forsikring'!G120+'Tryg Forsikring'!G120</f>
        <v>0</v>
      </c>
      <c r="G120" s="163" t="str">
        <f t="shared" si="24"/>
        <v xml:space="preserve">    ---- </v>
      </c>
      <c r="H120" s="235">
        <f t="shared" si="25"/>
        <v>0</v>
      </c>
      <c r="I120" s="235">
        <f t="shared" si="26"/>
        <v>7100.2450600000002</v>
      </c>
      <c r="J120" s="21" t="str">
        <f t="shared" si="27"/>
        <v xml:space="preserve">    ---- </v>
      </c>
    </row>
    <row r="121" spans="1:10" ht="15.75" customHeight="1" x14ac:dyDescent="0.2">
      <c r="A121" s="652" t="s">
        <v>14</v>
      </c>
      <c r="B121" s="185" t="str">
        <f>IF($A$1=4,'ACE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Pensjonsforsikring'!B121+'SHB Liv'!B121+'Silver Pensjonsforsikring AS'!B121+'Sparebank 1'!B121+'Storebrand Livsforsikring'!B121+'Telenor Forsikring'!B121+'Tryg Forsikring'!B121,"")</f>
        <v/>
      </c>
      <c r="C121" s="185" t="str">
        <f>IF($A$1=4,'ACE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Pensjonsforsikring'!C121+'SHB Liv'!C121+'Silver Pensjonsforsikring AS'!C121+'Sparebank 1'!C121+'Storebrand Livsforsikring'!C121+'Telenor Forsikring'!C121+'Tryg Forsikring'!C121,"")</f>
        <v/>
      </c>
      <c r="D121" s="25" t="str">
        <f>IF($A$1=4,IF(B121=0, "    ---- ", IF(ABS(ROUND(100/B121*C121-100,1))&lt;999,ROUND(100/B121*C121-100,1),IF(ROUND(100/B121*C121-100,1)&gt;999,999,-999))),"")</f>
        <v/>
      </c>
      <c r="E121" s="185" t="str">
        <f>IF($A$1=4,'ACE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Pensjonsforsikring'!F121+'SHB Liv'!F121+'Silver Pensjonsforsikring AS'!F121+'Sparebank 1'!F121+'Storebrand Livsforsikring'!F121+'Telenor Forsikring'!F121+'Tryg Forsikring'!F121,"")</f>
        <v/>
      </c>
      <c r="F121" s="185" t="str">
        <f>IF($A$1=4,'ACE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Pensjonsforsikring'!G121+'SHB Liv'!G121+'Silver Pensjonsforsikring AS'!G121+'Sparebank 1'!G121+'Storebrand Livsforsikring'!G121+'Telenor Forsikring'!G121+'Tryg Forsikring'!G121,"")</f>
        <v/>
      </c>
      <c r="G121" s="163" t="str">
        <f>IF($A$1=4,IF(E121=0, "    ---- ", IF(ABS(ROUND(100/E121*F121-100,1))&lt;999,ROUND(100/E121*F121-100,1),IF(ROUND(100/E121*F121-100,1)&gt;999,999,-999))),"")</f>
        <v/>
      </c>
      <c r="H121" s="664">
        <f t="shared" si="25"/>
        <v>0</v>
      </c>
      <c r="I121" s="664">
        <f t="shared" si="26"/>
        <v>0</v>
      </c>
      <c r="J121" s="21"/>
    </row>
    <row r="122" spans="1:10" ht="15.75" customHeight="1" x14ac:dyDescent="0.2">
      <c r="A122" s="19" t="s">
        <v>416</v>
      </c>
      <c r="B122" s="235">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Pensjonsforsikring'!B122+'SHB Liv'!B122+'Silver Pensjonsforsikring AS'!B122+'Sparebank 1'!B122+'Storebrand Livsforsikring'!B122+'Telenor Forsikring'!B122+'Tryg Forsikring'!B122</f>
        <v>52035.652920000008</v>
      </c>
      <c r="C122" s="235">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Pensjonsforsikring'!C122+'SHB Liv'!C122+'Silver Pensjonsforsikring AS'!C122+'Sparebank 1'!C122+'Storebrand Livsforsikring'!C122+'Telenor Forsikring'!C122+'Tryg Forsikring'!C122</f>
        <v>47481.87066</v>
      </c>
      <c r="D122" s="21">
        <f t="shared" si="23"/>
        <v>-8.8000000000000007</v>
      </c>
      <c r="E122" s="42">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Pensjonsforsikring'!F122+'SHB Liv'!F122+'Silver Pensjonsforsikring AS'!F122+'Sparebank 1'!F122+'Storebrand Livsforsikring'!F122+'Telenor Forsikring'!F122+'Tryg Forsikring'!F122</f>
        <v>30429.634999999998</v>
      </c>
      <c r="F122" s="42">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Pensjonsforsikring'!G122+'SHB Liv'!G122+'Silver Pensjonsforsikring AS'!G122+'Sparebank 1'!G122+'Storebrand Livsforsikring'!G122+'Telenor Forsikring'!G122+'Tryg Forsikring'!G122</f>
        <v>12925.173000000001</v>
      </c>
      <c r="G122" s="163">
        <f t="shared" si="24"/>
        <v>-57.5</v>
      </c>
      <c r="H122" s="235">
        <f t="shared" si="25"/>
        <v>82465.287920000002</v>
      </c>
      <c r="I122" s="235">
        <f t="shared" si="26"/>
        <v>60407.043660000003</v>
      </c>
      <c r="J122" s="21">
        <f t="shared" si="27"/>
        <v>-26.7</v>
      </c>
    </row>
    <row r="123" spans="1:10" ht="15.75" customHeight="1" x14ac:dyDescent="0.2">
      <c r="A123" s="19" t="s">
        <v>414</v>
      </c>
      <c r="B123" s="235">
        <f>'ACE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AS'!B123+'Landbruksforsikring AS'!B123+'NEMI Forsikring'!B123+'Nordea Liv '!B123+'Oslo Pensjonsforsikring'!B123+'SHB Liv'!B123+'Silver Pensjonsforsikring AS'!B123+'Sparebank 1'!B123+'Storebrand Livsforsikring'!B123+'Telenor Forsikring'!B123+'Tryg Forsikring'!B123</f>
        <v>2807.0545299999999</v>
      </c>
      <c r="C123" s="235">
        <f>'ACE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AS'!C123+'Landbruksforsikring AS'!C123+'NEMI Forsikring'!C123+'Nordea Liv '!C123+'Oslo Pensjonsforsikring'!C123+'SHB Liv'!C123+'Silver Pensjonsforsikring AS'!C123+'Sparebank 1'!C123+'Storebrand Livsforsikring'!C123+'Telenor Forsikring'!C123+'Tryg Forsikring'!C123</f>
        <v>3809.8150499999997</v>
      </c>
      <c r="D123" s="21">
        <f t="shared" si="23"/>
        <v>35.700000000000003</v>
      </c>
      <c r="E123" s="42">
        <f>'ACE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AS'!F123+'Landbruksforsikring AS'!F123+'NEMI Forsikring'!F123+'Nordea Liv '!F123+'Oslo Pensjonsforsikring'!F123+'SHB Liv'!F123+'Silver Pensjonsforsikring AS'!F123+'Sparebank 1'!F123+'Storebrand Livsforsikring'!F123+'Telenor Forsikring'!F123+'Tryg Forsikring'!F123</f>
        <v>692920.04076</v>
      </c>
      <c r="F123" s="42">
        <f>'ACE European Group'!G123+'Danica Pensjonsforsikring'!G123+'DNB Livsforsikring'!G123+'Eika Forsikring AS'!G123+'Frende Livsforsikring'!G123+'Frende Skadeforsikring'!G123+'Gjensidige Forsikring'!G123+'Gjensidige Pensjon'!G123+'Handelsbanken Liv'!G123+'If Skadeforsikring NUF'!G123+KLP!G123+'KLP Bedriftspensjon AS'!G123+'KLP Skadeforsikring AS'!G123+'Landbruksforsikring AS'!G123+'NEMI Forsikring'!G123+'Nordea Liv '!G123+'Oslo Pensjonsforsikring'!G123+'SHB Liv'!G123+'Silver Pensjonsforsikring AS'!G123+'Sparebank 1'!G123+'Storebrand Livsforsikring'!G123+'Telenor Forsikring'!G123+'Tryg Forsikring'!G123</f>
        <v>1483623.5681999999</v>
      </c>
      <c r="G123" s="163">
        <f t="shared" si="24"/>
        <v>114.1</v>
      </c>
      <c r="H123" s="235">
        <f t="shared" si="25"/>
        <v>695727.09528999997</v>
      </c>
      <c r="I123" s="235">
        <f t="shared" si="26"/>
        <v>1487433.38325</v>
      </c>
      <c r="J123" s="21">
        <f t="shared" si="27"/>
        <v>113.8</v>
      </c>
    </row>
    <row r="124" spans="1:10" ht="15.75" customHeight="1" x14ac:dyDescent="0.2">
      <c r="A124" s="10" t="s">
        <v>415</v>
      </c>
      <c r="B124" s="236">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Pensjonsforsikring'!B124+'SHB Liv'!B124+'Silver Pensjonsforsikring AS'!B124+'Sparebank 1'!B124+'Storebrand Livsforsikring'!B124+'Telenor Forsikring'!B124+'Tryg Forsikring'!B124</f>
        <v>0</v>
      </c>
      <c r="C124" s="237">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Pensjonsforsikring'!C124+'SHB Liv'!C124+'Silver Pensjonsforsikring AS'!C124+'Sparebank 1'!C124+'Storebrand Livsforsikring'!C124+'Telenor Forsikring'!C124+'Tryg Forsikring'!C124</f>
        <v>0</v>
      </c>
      <c r="D124" s="20" t="str">
        <f t="shared" si="23"/>
        <v xml:space="preserve">    ---- </v>
      </c>
      <c r="E124" s="43">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Pensjonsforsikring'!F124+'SHB Liv'!F124+'Silver Pensjonsforsikring AS'!F124+'Sparebank 1'!F124+'Storebrand Livsforsikring'!F124+'Telenor Forsikring'!F124+'Tryg Forsikring'!F124</f>
        <v>0</v>
      </c>
      <c r="F124" s="43">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Pensjonsforsikring'!G124+'SHB Liv'!G124+'Silver Pensjonsforsikring AS'!G124+'Sparebank 1'!G124+'Storebrand Livsforsikring'!G124+'Telenor Forsikring'!G124+'Tryg Forsikring'!G124</f>
        <v>0</v>
      </c>
      <c r="G124" s="164" t="str">
        <f t="shared" si="24"/>
        <v xml:space="preserve">    ---- </v>
      </c>
      <c r="H124" s="236">
        <f t="shared" si="25"/>
        <v>0</v>
      </c>
      <c r="I124" s="237">
        <f t="shared" si="26"/>
        <v>0</v>
      </c>
      <c r="J124" s="20" t="str">
        <f t="shared" si="27"/>
        <v xml:space="preserve">    ---- </v>
      </c>
    </row>
    <row r="125" spans="1:10" ht="15.75" customHeight="1" x14ac:dyDescent="0.2">
      <c r="A125" s="152"/>
    </row>
    <row r="126" spans="1:10" ht="15.75" customHeight="1" x14ac:dyDescent="0.2"/>
    <row r="127" spans="1:10" ht="15.75" customHeight="1" x14ac:dyDescent="0.25">
      <c r="A127" s="162" t="s">
        <v>28</v>
      </c>
    </row>
    <row r="128" spans="1:10" ht="15.75" customHeight="1" x14ac:dyDescent="0.25">
      <c r="B128" s="688"/>
      <c r="C128" s="688"/>
      <c r="D128" s="688"/>
      <c r="E128" s="688"/>
      <c r="F128" s="688"/>
      <c r="G128" s="688"/>
      <c r="H128" s="688"/>
      <c r="I128" s="688"/>
      <c r="J128" s="688"/>
    </row>
    <row r="129" spans="1:10" s="3" customFormat="1" ht="20.100000000000001" customHeight="1" x14ac:dyDescent="0.2">
      <c r="A129" s="141"/>
      <c r="B129" s="685" t="s">
        <v>0</v>
      </c>
      <c r="C129" s="686"/>
      <c r="D129" s="687"/>
      <c r="E129" s="686" t="s">
        <v>1</v>
      </c>
      <c r="F129" s="686"/>
      <c r="G129" s="686"/>
      <c r="H129" s="685" t="s">
        <v>2</v>
      </c>
      <c r="I129" s="686"/>
      <c r="J129" s="687"/>
    </row>
    <row r="130" spans="1:10" s="3" customFormat="1" ht="15.75" customHeight="1" x14ac:dyDescent="0.2">
      <c r="A130" s="138"/>
      <c r="B130" s="250" t="s">
        <v>387</v>
      </c>
      <c r="C130" s="250" t="s">
        <v>388</v>
      </c>
      <c r="D130" s="18" t="s">
        <v>3</v>
      </c>
      <c r="E130" s="250" t="s">
        <v>387</v>
      </c>
      <c r="F130" s="250" t="s">
        <v>388</v>
      </c>
      <c r="G130" s="18" t="s">
        <v>3</v>
      </c>
      <c r="H130" s="250" t="s">
        <v>387</v>
      </c>
      <c r="I130" s="250" t="s">
        <v>388</v>
      </c>
      <c r="J130" s="18" t="s">
        <v>3</v>
      </c>
    </row>
    <row r="131" spans="1:10" s="3" customFormat="1" ht="15.75" customHeight="1" x14ac:dyDescent="0.2">
      <c r="A131" s="418"/>
      <c r="B131" s="15"/>
      <c r="C131" s="15"/>
      <c r="D131" s="16" t="s">
        <v>4</v>
      </c>
      <c r="E131" s="15"/>
      <c r="F131" s="15"/>
      <c r="G131" s="15" t="s">
        <v>4</v>
      </c>
      <c r="H131" s="15"/>
      <c r="I131" s="15"/>
      <c r="J131" s="15" t="s">
        <v>4</v>
      </c>
    </row>
    <row r="132" spans="1:10" s="403" customFormat="1" ht="15.75" customHeight="1" x14ac:dyDescent="0.2">
      <c r="A132" s="14" t="s">
        <v>417</v>
      </c>
      <c r="B132" s="234">
        <f>'ACE European Group'!B132+'Danica Pensjonsforsikring'!B132+'DNB Livsforsikring'!B132+'Eika Forsikring AS'!B132+'Frende Livsforsikring'!B132+'Frende Skadeforsikring'!B132+'Gjensidige Forsikring'!B132+'Gjensidige Pensjon'!B132+'Handelsbanken Liv'!B132+'If Skadeforsikring NUF'!B132+KLP!B132+'KLP Bedriftspensjon AS'!B132+'KLP Skadeforsikring AS'!B132+'Landbruksforsikring AS'!B132+'NEMI Forsikring'!B132+'Nordea Liv '!B132+'Oslo Pensjonsforsikring'!B132+'SHB Liv'!B132+'Silver Pensjonsforsikring AS'!B132+'Sparebank 1'!B132+'Storebrand Livsforsikring'!B132+'Telenor Forsikring'!B132+'Tryg Forsikring'!B132</f>
        <v>29596097.877</v>
      </c>
      <c r="C132" s="234">
        <f>'ACE European Group'!C132+'Danica Pensjonsforsikring'!C132+'DNB Livsforsikring'!C132+'Eika Forsikring AS'!C132+'Frende Livsforsikring'!C132+'Frende Skadeforsikring'!C132+'Gjensidige Forsikring'!C132+'Gjensidige Pensjon'!C132+'Handelsbanken Liv'!C132+'If Skadeforsikring NUF'!C132+KLP!C132+'KLP Bedriftspensjon AS'!C132+'KLP Skadeforsikring AS'!C132+'Landbruksforsikring AS'!C132+'NEMI Forsikring'!C132+'Nordea Liv '!C132+'Oslo Pensjonsforsikring'!C132+'SHB Liv'!C132+'Silver Pensjonsforsikring AS'!C132+'Sparebank 1'!C132+'Storebrand Livsforsikring'!C132+'Telenor Forsikring'!C132+'Tryg Forsikring'!C132</f>
        <v>26968745.670390002</v>
      </c>
      <c r="D132" s="11">
        <f>IF(B132=0, "    ---- ", IF(ABS(ROUND(100/B132*C132-100,1))&lt;999,ROUND(100/B132*C132-100,1),IF(ROUND(100/B132*C132-100,1)&gt;999,999,-999)))</f>
        <v>-8.9</v>
      </c>
      <c r="E132" s="234">
        <f>'ACE European Group'!F132+'Danica Pensjonsforsikring'!F132+'DNB Livsforsikring'!F132+'Eika Forsikring AS'!F132+'Frende Livsforsikring'!F132+'Frende Skadeforsikring'!F132+'Gjensidige Forsikring'!F132+'Gjensidige Pensjon'!F132+'Handelsbanken Liv'!F132+'If Skadeforsikring NUF'!F132+KLP!F132+'KLP Bedriftspensjon AS'!F132+'KLP Skadeforsikring AS'!F132+'Landbruksforsikring AS'!F132+'NEMI Forsikring'!F132+'Nordea Liv '!F132+'Oslo Pensjonsforsikring'!F132+'SHB Liv'!F132+'Silver Pensjonsforsikring AS'!F132+'Sparebank 1'!F132+'Storebrand Livsforsikring'!F132+'Telenor Forsikring'!F132+'Tryg Forsikring'!F132</f>
        <v>110318.236</v>
      </c>
      <c r="F132" s="234">
        <f>'ACE European Group'!G132+'Danica Pensjonsforsikring'!G132+'DNB Livsforsikring'!G132+'Eika Forsikring AS'!G132+'Frende Livsforsikring'!G132+'Frende Skadeforsikring'!G132+'Gjensidige Forsikring'!G132+'Gjensidige Pensjon'!G132+'Handelsbanken Liv'!G132+'If Skadeforsikring NUF'!G132+KLP!G132+'KLP Bedriftspensjon AS'!G132+'KLP Skadeforsikring AS'!G132+'Landbruksforsikring AS'!G132+'NEMI Forsikring'!G132+'Nordea Liv '!G132+'Oslo Pensjonsforsikring'!G132+'SHB Liv'!G132+'Silver Pensjonsforsikring AS'!G132+'Sparebank 1'!G132+'Storebrand Livsforsikring'!G132+'Telenor Forsikring'!G132+'Tryg Forsikring'!G132</f>
        <v>84881.887000000002</v>
      </c>
      <c r="G132" s="11">
        <f>IF(E132=0, "    ---- ", IF(ABS(ROUND(100/E132*F132-100,1))&lt;999,ROUND(100/E132*F132-100,1),IF(ROUND(100/E132*F132-100,1)&gt;999,999,-999)))</f>
        <v>-23.1</v>
      </c>
      <c r="H132" s="234">
        <f t="shared" ref="H132:I135" si="28">SUM(B132,E132)</f>
        <v>29706416.113000002</v>
      </c>
      <c r="I132" s="234">
        <f t="shared" si="28"/>
        <v>27053627.557390001</v>
      </c>
      <c r="J132" s="11">
        <f>IF(H132=0, "    ---- ", IF(ABS(ROUND(100/H132*I132-100,1))&lt;999,ROUND(100/H132*I132-100,1),IF(ROUND(100/H132*I132-100,1)&gt;999,999,-999)))</f>
        <v>-8.9</v>
      </c>
    </row>
    <row r="133" spans="1:10" s="403" customFormat="1" ht="15.75" customHeight="1" x14ac:dyDescent="0.2">
      <c r="A133" s="13" t="s">
        <v>418</v>
      </c>
      <c r="B133" s="234">
        <f>'ACE European Group'!B133+'Danica Pensjonsforsikring'!B133+'DNB Livsforsikring'!B133+'Eika Forsikring AS'!B133+'Frende Livsforsikring'!B133+'Frende Skadeforsikring'!B133+'Gjensidige Forsikring'!B133+'Gjensidige Pensjon'!B133+'Handelsbanken Liv'!B133+'If Skadeforsikring NUF'!B133+KLP!B133+'KLP Bedriftspensjon AS'!B133+'KLP Skadeforsikring AS'!B133+'Landbruksforsikring AS'!B133+'NEMI Forsikring'!B133+'Nordea Liv '!B133+'Oslo Pensjonsforsikring'!B133+'SHB Liv'!B133+'Silver Pensjonsforsikring AS'!B133+'Sparebank 1'!B133+'Storebrand Livsforsikring'!B133+'Telenor Forsikring'!B133+'Tryg Forsikring'!B133</f>
        <v>485215148.15420002</v>
      </c>
      <c r="C133" s="234">
        <f>'ACE European Group'!C133+'Danica Pensjonsforsikring'!C133+'DNB Livsforsikring'!C133+'Eika Forsikring AS'!C133+'Frende Livsforsikring'!C133+'Frende Skadeforsikring'!C133+'Gjensidige Forsikring'!C133+'Gjensidige Pensjon'!C133+'Handelsbanken Liv'!C133+'If Skadeforsikring NUF'!C133+KLP!C133+'KLP Bedriftspensjon AS'!C133+'KLP Skadeforsikring AS'!C133+'Landbruksforsikring AS'!C133+'NEMI Forsikring'!C133+'Nordea Liv '!C133+'Oslo Pensjonsforsikring'!C133+'SHB Liv'!C133+'Silver Pensjonsforsikring AS'!C133+'Sparebank 1'!C133+'Storebrand Livsforsikring'!C133+'Telenor Forsikring'!C133+'Tryg Forsikring'!C133</f>
        <v>511066919.56677002</v>
      </c>
      <c r="D133" s="11">
        <f>IF(B133=0, "    ---- ", IF(ABS(ROUND(100/B133*C133-100,1))&lt;999,ROUND(100/B133*C133-100,1),IF(ROUND(100/B133*C133-100,1)&gt;999,999,-999)))</f>
        <v>5.3</v>
      </c>
      <c r="E133" s="234">
        <f>'ACE European Group'!F133+'Danica Pensjonsforsikring'!F133+'DNB Livsforsikring'!F133+'Eika Forsikring AS'!F133+'Frende Livsforsikring'!F133+'Frende Skadeforsikring'!F133+'Gjensidige Forsikring'!F133+'Gjensidige Pensjon'!F133+'Handelsbanken Liv'!F133+'If Skadeforsikring NUF'!F133+KLP!F133+'KLP Bedriftspensjon AS'!F133+'KLP Skadeforsikring AS'!F133+'Landbruksforsikring AS'!F133+'NEMI Forsikring'!F133+'Nordea Liv '!F133+'Oslo Pensjonsforsikring'!F133+'SHB Liv'!F133+'Silver Pensjonsforsikring AS'!F133+'Sparebank 1'!F133+'Storebrand Livsforsikring'!F133+'Telenor Forsikring'!F133+'Tryg Forsikring'!F133</f>
        <v>2160404.7961499998</v>
      </c>
      <c r="F133" s="234">
        <f>'ACE European Group'!G133+'Danica Pensjonsforsikring'!G133+'DNB Livsforsikring'!G133+'Eika Forsikring AS'!G133+'Frende Livsforsikring'!G133+'Frende Skadeforsikring'!G133+'Gjensidige Forsikring'!G133+'Gjensidige Pensjon'!G133+'Handelsbanken Liv'!G133+'If Skadeforsikring NUF'!G133+KLP!G133+'KLP Bedriftspensjon AS'!G133+'KLP Skadeforsikring AS'!G133+'Landbruksforsikring AS'!G133+'NEMI Forsikring'!G133+'Nordea Liv '!G133+'Oslo Pensjonsforsikring'!G133+'SHB Liv'!G133+'Silver Pensjonsforsikring AS'!G133+'Sparebank 1'!G133+'Storebrand Livsforsikring'!G133+'Telenor Forsikring'!G133+'Tryg Forsikring'!G133</f>
        <v>2330198.9161499999</v>
      </c>
      <c r="G133" s="11">
        <f>IF(E133=0, "    ---- ", IF(ABS(ROUND(100/E133*F133-100,1))&lt;999,ROUND(100/E133*F133-100,1),IF(ROUND(100/E133*F133-100,1)&gt;999,999,-999)))</f>
        <v>7.9</v>
      </c>
      <c r="H133" s="234">
        <f t="shared" si="28"/>
        <v>487375552.95035005</v>
      </c>
      <c r="I133" s="234">
        <f t="shared" si="28"/>
        <v>513397118.48291999</v>
      </c>
      <c r="J133" s="11">
        <f>IF(H133=0, "    ---- ", IF(ABS(ROUND(100/H133*I133-100,1))&lt;999,ROUND(100/H133*I133-100,1),IF(ROUND(100/H133*I133-100,1)&gt;999,999,-999)))</f>
        <v>5.3</v>
      </c>
    </row>
    <row r="134" spans="1:10" s="403" customFormat="1" ht="15.75" customHeight="1" x14ac:dyDescent="0.2">
      <c r="A134" s="13" t="s">
        <v>419</v>
      </c>
      <c r="B134" s="234">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Pensjonsforsikring'!B134+'SHB Liv'!B134+'Silver Pensjonsforsikring AS'!B134+'Sparebank 1'!B134+'Storebrand Livsforsikring'!B134+'Telenor Forsikring'!B134+'Tryg Forsikring'!B134</f>
        <v>3531655.2910000002</v>
      </c>
      <c r="C134" s="234">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Pensjonsforsikring'!C134+'SHB Liv'!C134+'Silver Pensjonsforsikring AS'!C134+'Sparebank 1'!C134+'Storebrand Livsforsikring'!C134+'Telenor Forsikring'!C134+'Tryg Forsikring'!C134</f>
        <v>183490.30300000001</v>
      </c>
      <c r="D134" s="11">
        <f>IF(B134=0, "    ---- ", IF(ABS(ROUND(100/B134*C134-100,1))&lt;999,ROUND(100/B134*C134-100,1),IF(ROUND(100/B134*C134-100,1)&gt;999,999,-999)))</f>
        <v>-94.8</v>
      </c>
      <c r="E134" s="234">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Pensjonsforsikring'!F134+'SHB Liv'!F134+'Silver Pensjonsforsikring AS'!F134+'Sparebank 1'!F134+'Storebrand Livsforsikring'!F134+'Telenor Forsikring'!F134+'Tryg Forsikring'!F134</f>
        <v>-300.541</v>
      </c>
      <c r="F134" s="234">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Pensjonsforsikring'!G134+'SHB Liv'!G134+'Silver Pensjonsforsikring AS'!G134+'Sparebank 1'!G134+'Storebrand Livsforsikring'!G134+'Telenor Forsikring'!G134+'Tryg Forsikring'!G134</f>
        <v>24988.125</v>
      </c>
      <c r="G134" s="11">
        <f>IF(E134=0, "    ---- ", IF(ABS(ROUND(100/E134*F134-100,1))&lt;999,ROUND(100/E134*F134-100,1),IF(ROUND(100/E134*F134-100,1)&gt;999,999,-999)))</f>
        <v>-999</v>
      </c>
      <c r="H134" s="234">
        <f t="shared" si="28"/>
        <v>3531354.75</v>
      </c>
      <c r="I134" s="234">
        <f t="shared" si="28"/>
        <v>208478.42800000001</v>
      </c>
      <c r="J134" s="11">
        <f>IF(H134=0, "    ---- ", IF(ABS(ROUND(100/H134*I134-100,1))&lt;999,ROUND(100/H134*I134-100,1),IF(ROUND(100/H134*I134-100,1)&gt;999,999,-999)))</f>
        <v>-94.1</v>
      </c>
    </row>
    <row r="135" spans="1:10" s="403" customFormat="1" ht="15.75" customHeight="1" x14ac:dyDescent="0.2">
      <c r="A135" s="39" t="s">
        <v>420</v>
      </c>
      <c r="B135" s="273">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Pensjonsforsikring'!B135+'SHB Liv'!B135+'Silver Pensjonsforsikring AS'!B135+'Sparebank 1'!B135+'Storebrand Livsforsikring'!B135+'Telenor Forsikring'!B135+'Tryg Forsikring'!B135</f>
        <v>1924392.1090000002</v>
      </c>
      <c r="C135" s="273">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Pensjonsforsikring'!C135+'SHB Liv'!C135+'Silver Pensjonsforsikring AS'!C135+'Sparebank 1'!C135+'Storebrand Livsforsikring'!C135+'Telenor Forsikring'!C135+'Tryg Forsikring'!C135</f>
        <v>358485.45999999996</v>
      </c>
      <c r="D135" s="9">
        <f>IF(B135=0, "    ---- ", IF(ABS(ROUND(100/B135*C135-100,1))&lt;999,ROUND(100/B135*C135-100,1),IF(ROUND(100/B135*C135-100,1)&gt;999,999,-999)))</f>
        <v>-81.400000000000006</v>
      </c>
      <c r="E135" s="273">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Pensjonsforsikring'!F135+'SHB Liv'!F135+'Silver Pensjonsforsikring AS'!F135+'Sparebank 1'!F135+'Storebrand Livsforsikring'!F135+'Telenor Forsikring'!F135+'Tryg Forsikring'!F135</f>
        <v>0</v>
      </c>
      <c r="F135" s="273">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Pensjonsforsikring'!G135+'SHB Liv'!G135+'Silver Pensjonsforsikring AS'!G135+'Sparebank 1'!G135+'Storebrand Livsforsikring'!G135+'Telenor Forsikring'!G135+'Tryg Forsikring'!G135</f>
        <v>0</v>
      </c>
      <c r="G135" s="9" t="str">
        <f>IF(E135=0, "    ---- ", IF(ABS(ROUND(100/E135*F135-100,1))&lt;999,ROUND(100/E135*F135-100,1),IF(ROUND(100/E135*F135-100,1)&gt;999,999,-999)))</f>
        <v xml:space="preserve">    ---- </v>
      </c>
      <c r="H135" s="273">
        <f t="shared" si="28"/>
        <v>1924392.1090000002</v>
      </c>
      <c r="I135" s="273">
        <f t="shared" si="28"/>
        <v>358485.45999999996</v>
      </c>
      <c r="J135" s="9">
        <f>IF(H135=0, "    ---- ", IF(ABS(ROUND(100/H135*I135-100,1))&lt;999,ROUND(100/H135*I135-100,1),IF(ROUND(100/H135*I135-100,1)&gt;999,999,-999)))</f>
        <v>-81.400000000000006</v>
      </c>
    </row>
    <row r="136" spans="1:10" s="3" customFormat="1" ht="15.75" customHeight="1" x14ac:dyDescent="0.2">
      <c r="A136" s="165"/>
      <c r="E136" s="7"/>
      <c r="F136" s="7"/>
      <c r="G136" s="6"/>
      <c r="H136" s="7"/>
      <c r="I136" s="7"/>
      <c r="J136" s="6"/>
    </row>
    <row r="137" spans="1:10" ht="15.75" customHeight="1" x14ac:dyDescent="0.2">
      <c r="A137" s="165"/>
    </row>
    <row r="138" spans="1:10" ht="15.75" customHeight="1" x14ac:dyDescent="0.2">
      <c r="A138" s="165"/>
    </row>
    <row r="139" spans="1:10" ht="15.75" customHeight="1" x14ac:dyDescent="0.2">
      <c r="A139" s="143"/>
    </row>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sheetData>
  <mergeCells count="27">
    <mergeCell ref="B18:D18"/>
    <mergeCell ref="E18:G18"/>
    <mergeCell ref="H18:J18"/>
    <mergeCell ref="B2:D2"/>
    <mergeCell ref="E2:G2"/>
    <mergeCell ref="H2:J2"/>
    <mergeCell ref="B4:D4"/>
    <mergeCell ref="E4:G4"/>
    <mergeCell ref="H4:J4"/>
    <mergeCell ref="B61:D61"/>
    <mergeCell ref="E61:G61"/>
    <mergeCell ref="H61:J61"/>
    <mergeCell ref="B19:D19"/>
    <mergeCell ref="E19:G19"/>
    <mergeCell ref="H19:J19"/>
    <mergeCell ref="B60:D60"/>
    <mergeCell ref="E60:G60"/>
    <mergeCell ref="H60:J60"/>
    <mergeCell ref="B40:D40"/>
    <mergeCell ref="E40:G40"/>
    <mergeCell ref="H40:J40"/>
    <mergeCell ref="B129:D129"/>
    <mergeCell ref="E129:G129"/>
    <mergeCell ref="H129:J129"/>
    <mergeCell ref="B128:D128"/>
    <mergeCell ref="E128:G128"/>
    <mergeCell ref="H128:J128"/>
  </mergeCells>
  <conditionalFormatting sqref="H99:I104">
    <cfRule type="expression" dxfId="1940" priority="56">
      <formula>kvartal&lt;4</formula>
    </cfRule>
  </conditionalFormatting>
  <conditionalFormatting sqref="B23:C26 E23:F26">
    <cfRule type="expression" dxfId="1939" priority="70">
      <formula>kvartal&lt;4</formula>
    </cfRule>
  </conditionalFormatting>
  <conditionalFormatting sqref="H23:I26">
    <cfRule type="expression" dxfId="1938" priority="69">
      <formula>kvartal&lt;4</formula>
    </cfRule>
  </conditionalFormatting>
  <conditionalFormatting sqref="H29:I31">
    <cfRule type="expression" dxfId="1937" priority="67">
      <formula>kvartal&lt;4</formula>
    </cfRule>
  </conditionalFormatting>
  <conditionalFormatting sqref="H67:I72">
    <cfRule type="expression" dxfId="1936" priority="64">
      <formula>kvartal&lt;4</formula>
    </cfRule>
  </conditionalFormatting>
  <conditionalFormatting sqref="H78:I83">
    <cfRule type="expression" dxfId="1935" priority="61">
      <formula>kvartal&lt;4</formula>
    </cfRule>
  </conditionalFormatting>
  <conditionalFormatting sqref="H88:I93">
    <cfRule type="expression" dxfId="1934" priority="57">
      <formula>kvartal&lt;4</formula>
    </cfRule>
  </conditionalFormatting>
  <conditionalFormatting sqref="H113:I113">
    <cfRule type="expression" dxfId="1933" priority="55">
      <formula>kvartal&lt;4</formula>
    </cfRule>
  </conditionalFormatting>
  <conditionalFormatting sqref="H121:I121">
    <cfRule type="expression" dxfId="1932" priority="54">
      <formula>kvartal&lt;4</formula>
    </cfRule>
  </conditionalFormatting>
  <conditionalFormatting sqref="E29:F31">
    <cfRule type="expression" dxfId="1931" priority="37">
      <formula>kvartal&lt;4</formula>
    </cfRule>
  </conditionalFormatting>
  <conditionalFormatting sqref="B29:C31">
    <cfRule type="expression" dxfId="1930" priority="35">
      <formula>kvartal&lt;4</formula>
    </cfRule>
  </conditionalFormatting>
  <conditionalFormatting sqref="B48:C50">
    <cfRule type="expression" dxfId="1929" priority="34">
      <formula>kvartal&lt;4</formula>
    </cfRule>
  </conditionalFormatting>
  <conditionalFormatting sqref="B67:C67">
    <cfRule type="expression" dxfId="1928" priority="32">
      <formula>kvartal&lt;4</formula>
    </cfRule>
  </conditionalFormatting>
  <conditionalFormatting sqref="B70:C70">
    <cfRule type="expression" dxfId="1927" priority="31">
      <formula>kvartal&lt;4</formula>
    </cfRule>
  </conditionalFormatting>
  <conditionalFormatting sqref="B78:C78">
    <cfRule type="expression" dxfId="1926" priority="30">
      <formula>kvartal&lt;4</formula>
    </cfRule>
  </conditionalFormatting>
  <conditionalFormatting sqref="B81:C81">
    <cfRule type="expression" dxfId="1925" priority="29">
      <formula>kvartal&lt;4</formula>
    </cfRule>
  </conditionalFormatting>
  <conditionalFormatting sqref="B88:C88">
    <cfRule type="expression" dxfId="1924" priority="24">
      <formula>kvartal&lt;4</formula>
    </cfRule>
  </conditionalFormatting>
  <conditionalFormatting sqref="B91:C91">
    <cfRule type="expression" dxfId="1923" priority="23">
      <formula>kvartal&lt;4</formula>
    </cfRule>
  </conditionalFormatting>
  <conditionalFormatting sqref="B99:C99">
    <cfRule type="expression" dxfId="1922" priority="22">
      <formula>kvartal&lt;4</formula>
    </cfRule>
  </conditionalFormatting>
  <conditionalFormatting sqref="B102:C102">
    <cfRule type="expression" dxfId="1921" priority="21">
      <formula>kvartal&lt;4</formula>
    </cfRule>
  </conditionalFormatting>
  <conditionalFormatting sqref="B113:C113">
    <cfRule type="expression" dxfId="1920" priority="20">
      <formula>kvartal&lt;4</formula>
    </cfRule>
  </conditionalFormatting>
  <conditionalFormatting sqref="B121:C121">
    <cfRule type="expression" dxfId="1919" priority="19">
      <formula>kvartal&lt;4</formula>
    </cfRule>
  </conditionalFormatting>
  <conditionalFormatting sqref="E67:F72">
    <cfRule type="expression" dxfId="1918" priority="18">
      <formula>kvartal&lt;4</formula>
    </cfRule>
  </conditionalFormatting>
  <conditionalFormatting sqref="E78:F83">
    <cfRule type="expression" dxfId="1917" priority="17">
      <formula>kvartal&lt;4</formula>
    </cfRule>
  </conditionalFormatting>
  <conditionalFormatting sqref="E88:F93">
    <cfRule type="expression" dxfId="1916" priority="14">
      <formula>kvartal&lt;4</formula>
    </cfRule>
  </conditionalFormatting>
  <conditionalFormatting sqref="E99:F104">
    <cfRule type="expression" dxfId="1915" priority="13">
      <formula>kvartal&lt;4</formula>
    </cfRule>
  </conditionalFormatting>
  <conditionalFormatting sqref="E113:F113">
    <cfRule type="expression" dxfId="1914" priority="12">
      <formula>kvartal&lt;4</formula>
    </cfRule>
  </conditionalFormatting>
  <conditionalFormatting sqref="E121:F121">
    <cfRule type="expression" dxfId="1913" priority="11">
      <formula>kvartal&lt;4</formula>
    </cfRule>
  </conditionalFormatting>
  <conditionalFormatting sqref="A23:A25">
    <cfRule type="expression" dxfId="1912" priority="10">
      <formula>kvartal &lt; 4</formula>
    </cfRule>
  </conditionalFormatting>
  <conditionalFormatting sqref="A48:A50">
    <cfRule type="expression" dxfId="1911" priority="9">
      <formula>kvartal &lt; 4</formula>
    </cfRule>
  </conditionalFormatting>
  <conditionalFormatting sqref="A67:A72">
    <cfRule type="expression" dxfId="1910" priority="8">
      <formula>kvartal &lt; 4</formula>
    </cfRule>
  </conditionalFormatting>
  <conditionalFormatting sqref="A113">
    <cfRule type="expression" dxfId="1909" priority="7">
      <formula>kvartal &lt; 4</formula>
    </cfRule>
  </conditionalFormatting>
  <conditionalFormatting sqref="A121">
    <cfRule type="expression" dxfId="1908" priority="6">
      <formula>kvartal &lt; 4</formula>
    </cfRule>
  </conditionalFormatting>
  <conditionalFormatting sqref="A26">
    <cfRule type="expression" dxfId="1907" priority="5">
      <formula>kvartal &lt; 4</formula>
    </cfRule>
  </conditionalFormatting>
  <conditionalFormatting sqref="A29:A31">
    <cfRule type="expression" dxfId="1906" priority="4">
      <formula>kvartal &lt; 4</formula>
    </cfRule>
  </conditionalFormatting>
  <conditionalFormatting sqref="A78:A83">
    <cfRule type="expression" dxfId="1905" priority="3">
      <formula>kvartal &lt; 4</formula>
    </cfRule>
  </conditionalFormatting>
  <conditionalFormatting sqref="A88:A93">
    <cfRule type="expression" dxfId="1904" priority="2">
      <formula>kvartal &lt; 4</formula>
    </cfRule>
  </conditionalFormatting>
  <conditionalFormatting sqref="A99:A104">
    <cfRule type="expression" dxfId="1903" priority="1">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42"/>
  <sheetViews>
    <sheetView showGridLines="0" zoomScaleNormal="100" workbookViewId="0">
      <pane xSplit="1" topLeftCell="B1" activePane="topRight" state="frozen"/>
      <selection activeCell="A130" sqref="A1:A1048576"/>
      <selection pane="topRight"/>
    </sheetView>
  </sheetViews>
  <sheetFormatPr baseColWidth="10" defaultColWidth="11.42578125" defaultRowHeight="12.75" x14ac:dyDescent="0.2"/>
  <cols>
    <col min="1" max="1" width="41.5703125" style="146" customWidth="1"/>
    <col min="2" max="2" width="10.85546875" style="146" customWidth="1"/>
    <col min="3" max="3" width="11" style="146" customWidth="1"/>
    <col min="4" max="4" width="8.7109375" style="146" customWidth="1"/>
    <col min="5" max="5" width="9.2851562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169" t="s">
        <v>150</v>
      </c>
      <c r="B1" s="420"/>
      <c r="C1" s="247" t="s">
        <v>135</v>
      </c>
      <c r="D1" s="24"/>
      <c r="E1" s="24"/>
      <c r="F1" s="24"/>
      <c r="G1" s="24"/>
      <c r="H1" s="24"/>
      <c r="I1" s="24"/>
      <c r="J1" s="24"/>
      <c r="K1" s="24"/>
      <c r="L1" s="24"/>
      <c r="M1" s="24"/>
      <c r="O1" s="409"/>
    </row>
    <row r="2" spans="1:15" ht="15.75" x14ac:dyDescent="0.25">
      <c r="A2" s="162" t="s">
        <v>29</v>
      </c>
      <c r="B2" s="344"/>
      <c r="C2" s="344"/>
      <c r="D2" s="344"/>
      <c r="E2" s="344"/>
      <c r="F2" s="344"/>
      <c r="G2" s="344"/>
      <c r="H2" s="344"/>
      <c r="I2" s="344"/>
      <c r="J2" s="344"/>
      <c r="K2" s="344"/>
      <c r="L2" s="344"/>
      <c r="M2" s="344"/>
      <c r="O2" s="145"/>
    </row>
    <row r="3" spans="1:15" ht="15.75" x14ac:dyDescent="0.25">
      <c r="A3" s="160"/>
      <c r="B3" s="344"/>
      <c r="C3" s="344"/>
      <c r="D3" s="344"/>
      <c r="E3" s="344"/>
      <c r="F3" s="344"/>
      <c r="G3" s="344"/>
      <c r="H3" s="344"/>
      <c r="I3" s="344"/>
      <c r="J3" s="344"/>
      <c r="K3" s="344"/>
      <c r="L3" s="344"/>
      <c r="M3" s="344"/>
      <c r="O3" s="145"/>
    </row>
    <row r="4" spans="1:15" x14ac:dyDescent="0.2">
      <c r="A4" s="141"/>
      <c r="B4" s="690" t="s">
        <v>0</v>
      </c>
      <c r="C4" s="691"/>
      <c r="D4" s="691"/>
      <c r="E4" s="422"/>
      <c r="F4" s="690" t="s">
        <v>1</v>
      </c>
      <c r="G4" s="691"/>
      <c r="H4" s="691"/>
      <c r="I4" s="422"/>
      <c r="J4" s="690" t="s">
        <v>2</v>
      </c>
      <c r="K4" s="691"/>
      <c r="L4" s="691"/>
      <c r="M4" s="422"/>
      <c r="O4" s="145"/>
    </row>
    <row r="5" spans="1:15" x14ac:dyDescent="0.2">
      <c r="A5" s="155"/>
      <c r="B5" s="149" t="s">
        <v>387</v>
      </c>
      <c r="C5" s="149" t="s">
        <v>388</v>
      </c>
      <c r="D5" s="244" t="s">
        <v>3</v>
      </c>
      <c r="E5" s="294" t="s">
        <v>30</v>
      </c>
      <c r="F5" s="149" t="s">
        <v>387</v>
      </c>
      <c r="G5" s="149" t="s">
        <v>388</v>
      </c>
      <c r="H5" s="244" t="s">
        <v>3</v>
      </c>
      <c r="I5" s="294"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347">
        <v>0</v>
      </c>
      <c r="C7" s="348">
        <v>0</v>
      </c>
      <c r="D7" s="355">
        <f t="shared" ref="D7:D12" si="0">IF(AND(_xlfn.NUMBERVALUE(B7)=0,_xlfn.NUMBERVALUE(C7)=0),,IF(B7=0, "    ---- ", IF(ABS(ROUND(100/B7*C7-100,1))&lt;999,IF(ROUND(100/B7*C7-100,1)=0,"    ---- ",ROUND(100/B7*C7-100,1)),IF(ROUND(100/B7*C7-100,1)&gt;999,999,-999))))</f>
        <v>0</v>
      </c>
      <c r="E7" s="356">
        <f>IFERROR(100/'Skjema total MA'!C7*C7,0)</f>
        <v>0</v>
      </c>
      <c r="F7" s="347">
        <v>0</v>
      </c>
      <c r="G7" s="348">
        <v>0</v>
      </c>
      <c r="H7" s="355">
        <f t="shared" ref="H7:H12" si="1">IF(AND(_xlfn.NUMBERVALUE(F7)=0,_xlfn.NUMBERVALUE(G7)=0),,IF(F7=0, "    ---- ", IF(ABS(ROUND(100/F7*G7-100,1))&lt;999,IF(ROUND(100/F7*G7-100,1)=0,"    ---- ",ROUND(100/F7*G7-100,1)),IF(ROUND(100/F7*G7-100,1)&gt;999,999,-999))))</f>
        <v>0</v>
      </c>
      <c r="I7" s="356">
        <f>IFERROR(100/'Skjema total MA'!F7*G7,0)</f>
        <v>0</v>
      </c>
      <c r="J7" s="357">
        <f t="shared" ref="J7:K12" si="2">SUM(B7,F7)</f>
        <v>0</v>
      </c>
      <c r="K7" s="352">
        <f t="shared" si="2"/>
        <v>0</v>
      </c>
      <c r="L7" s="355">
        <f t="shared" ref="L7:L12" si="3">IF(AND(_xlfn.NUMBERVALUE(J7)=0,_xlfn.NUMBERVALUE(K7)=0),,IF(J7=0, "    ---- ", IF(ABS(ROUND(100/J7*K7-100,1))&lt;999,IF(ROUND(100/J7*K7-100,1)=0,"    ---- ",ROUND(100/J7*K7-100,1)),IF(ROUND(100/J7*K7-100,1)&gt;999,999,-999))))</f>
        <v>0</v>
      </c>
      <c r="M7" s="356">
        <f>IFERROR(100/'Skjema total MA'!I7*K7,0)</f>
        <v>0</v>
      </c>
      <c r="O7" s="145"/>
    </row>
    <row r="8" spans="1:15" ht="15.75" x14ac:dyDescent="0.2">
      <c r="A8" s="19" t="s">
        <v>26</v>
      </c>
      <c r="B8" s="349">
        <v>0</v>
      </c>
      <c r="C8" s="350">
        <v>0</v>
      </c>
      <c r="D8" s="358">
        <f t="shared" si="0"/>
        <v>0</v>
      </c>
      <c r="E8" s="356">
        <f>IFERROR(100/'Skjema total MA'!C8*C8,0)</f>
        <v>0</v>
      </c>
      <c r="F8" s="359"/>
      <c r="G8" s="360"/>
      <c r="H8" s="358"/>
      <c r="I8" s="356"/>
      <c r="J8" s="361">
        <f t="shared" si="2"/>
        <v>0</v>
      </c>
      <c r="K8" s="350">
        <f t="shared" si="2"/>
        <v>0</v>
      </c>
      <c r="L8" s="358">
        <f t="shared" si="3"/>
        <v>0</v>
      </c>
      <c r="M8" s="356">
        <f>IFERROR(100/'Skjema total MA'!I8*K8,0)</f>
        <v>0</v>
      </c>
      <c r="O8" s="145"/>
    </row>
    <row r="9" spans="1:15" ht="15.75" x14ac:dyDescent="0.2">
      <c r="A9" s="19" t="s">
        <v>25</v>
      </c>
      <c r="B9" s="349">
        <v>0</v>
      </c>
      <c r="C9" s="350">
        <v>0</v>
      </c>
      <c r="D9" s="358">
        <f t="shared" si="0"/>
        <v>0</v>
      </c>
      <c r="E9" s="356">
        <f>IFERROR(100/'Skjema total MA'!C9*C9,0)</f>
        <v>0</v>
      </c>
      <c r="F9" s="359"/>
      <c r="G9" s="360"/>
      <c r="H9" s="358"/>
      <c r="I9" s="356"/>
      <c r="J9" s="361">
        <f t="shared" si="2"/>
        <v>0</v>
      </c>
      <c r="K9" s="350">
        <f t="shared" si="2"/>
        <v>0</v>
      </c>
      <c r="L9" s="358">
        <f t="shared" si="3"/>
        <v>0</v>
      </c>
      <c r="M9" s="356">
        <f>IFERROR(100/'Skjema total MA'!I9*K9,0)</f>
        <v>0</v>
      </c>
      <c r="O9" s="145"/>
    </row>
    <row r="10" spans="1:15" ht="15.75" x14ac:dyDescent="0.2">
      <c r="A10" s="13" t="s">
        <v>398</v>
      </c>
      <c r="B10" s="351">
        <v>0</v>
      </c>
      <c r="C10" s="352">
        <v>0</v>
      </c>
      <c r="D10" s="358">
        <f t="shared" si="0"/>
        <v>0</v>
      </c>
      <c r="E10" s="356">
        <f>IFERROR(100/'Skjema total MA'!C10*C10,0)</f>
        <v>0</v>
      </c>
      <c r="F10" s="351">
        <v>0</v>
      </c>
      <c r="G10" s="352">
        <v>0</v>
      </c>
      <c r="H10" s="358">
        <f t="shared" si="1"/>
        <v>0</v>
      </c>
      <c r="I10" s="356">
        <f>IFERROR(100/'Skjema total MA'!F10*G10,0)</f>
        <v>0</v>
      </c>
      <c r="J10" s="357">
        <f t="shared" si="2"/>
        <v>0</v>
      </c>
      <c r="K10" s="352">
        <f t="shared" si="2"/>
        <v>0</v>
      </c>
      <c r="L10" s="358">
        <f t="shared" si="3"/>
        <v>0</v>
      </c>
      <c r="M10" s="356">
        <f>IFERROR(100/'Skjema total MA'!I10*K10,0)</f>
        <v>0</v>
      </c>
      <c r="O10" s="145"/>
    </row>
    <row r="11" spans="1:15" s="41" customFormat="1" ht="15.75" x14ac:dyDescent="0.2">
      <c r="A11" s="13" t="s">
        <v>399</v>
      </c>
      <c r="B11" s="351">
        <v>0</v>
      </c>
      <c r="C11" s="352">
        <v>0</v>
      </c>
      <c r="D11" s="358">
        <f t="shared" si="0"/>
        <v>0</v>
      </c>
      <c r="E11" s="356">
        <f>IFERROR(100/'Skjema total MA'!C11*C11,0)</f>
        <v>0</v>
      </c>
      <c r="F11" s="351">
        <v>0</v>
      </c>
      <c r="G11" s="352">
        <v>0</v>
      </c>
      <c r="H11" s="358">
        <f t="shared" si="1"/>
        <v>0</v>
      </c>
      <c r="I11" s="356">
        <f>IFERROR(100/'Skjema total MA'!F11*G11,0)</f>
        <v>0</v>
      </c>
      <c r="J11" s="357">
        <f t="shared" si="2"/>
        <v>0</v>
      </c>
      <c r="K11" s="352">
        <f t="shared" si="2"/>
        <v>0</v>
      </c>
      <c r="L11" s="358">
        <f t="shared" si="3"/>
        <v>0</v>
      </c>
      <c r="M11" s="356">
        <f>IFERROR(100/'Skjema total MA'!I11*K11,0)</f>
        <v>0</v>
      </c>
      <c r="N11" s="140"/>
      <c r="O11" s="145"/>
    </row>
    <row r="12" spans="1:15" s="41" customFormat="1" ht="15.75" x14ac:dyDescent="0.2">
      <c r="A12" s="39" t="s">
        <v>400</v>
      </c>
      <c r="B12" s="353">
        <v>0</v>
      </c>
      <c r="C12" s="354">
        <v>0</v>
      </c>
      <c r="D12" s="362">
        <f t="shared" si="0"/>
        <v>0</v>
      </c>
      <c r="E12" s="362">
        <f>IFERROR(100/'Skjema total MA'!C12*C12,0)</f>
        <v>0</v>
      </c>
      <c r="F12" s="353">
        <v>0</v>
      </c>
      <c r="G12" s="354">
        <v>0</v>
      </c>
      <c r="H12" s="362">
        <f t="shared" si="1"/>
        <v>0</v>
      </c>
      <c r="I12" s="362">
        <f>IFERROR(100/'Skjema total MA'!F12*G12,0)</f>
        <v>0</v>
      </c>
      <c r="J12" s="363">
        <f t="shared" si="2"/>
        <v>0</v>
      </c>
      <c r="K12" s="354">
        <f t="shared" si="2"/>
        <v>0</v>
      </c>
      <c r="L12" s="362">
        <f t="shared" si="3"/>
        <v>0</v>
      </c>
      <c r="M12" s="362">
        <f>IFERROR(100/'Skjema total MA'!I12*K12,0)</f>
        <v>0</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343"/>
      <c r="C18" s="343"/>
      <c r="D18" s="343"/>
      <c r="E18" s="344"/>
      <c r="F18" s="343"/>
      <c r="G18" s="343"/>
      <c r="H18" s="343"/>
      <c r="I18" s="344"/>
      <c r="J18" s="343"/>
      <c r="K18" s="343"/>
      <c r="L18" s="343"/>
      <c r="M18" s="344"/>
      <c r="O18" s="145"/>
    </row>
    <row r="19" spans="1:15" x14ac:dyDescent="0.2">
      <c r="A19" s="141"/>
      <c r="B19" s="690" t="s">
        <v>0</v>
      </c>
      <c r="C19" s="691"/>
      <c r="D19" s="691"/>
      <c r="E19" s="422"/>
      <c r="F19" s="690" t="s">
        <v>1</v>
      </c>
      <c r="G19" s="691"/>
      <c r="H19" s="691"/>
      <c r="I19" s="422"/>
      <c r="J19" s="690" t="s">
        <v>2</v>
      </c>
      <c r="K19" s="691"/>
      <c r="L19" s="691"/>
      <c r="M19" s="422"/>
      <c r="O19" s="145"/>
    </row>
    <row r="20" spans="1:15" x14ac:dyDescent="0.2">
      <c r="A20" s="138" t="s">
        <v>5</v>
      </c>
      <c r="B20" s="241" t="s">
        <v>387</v>
      </c>
      <c r="C20" s="241" t="s">
        <v>388</v>
      </c>
      <c r="D20" s="159" t="s">
        <v>3</v>
      </c>
      <c r="E20" s="294" t="s">
        <v>30</v>
      </c>
      <c r="F20" s="241" t="s">
        <v>387</v>
      </c>
      <c r="G20" s="241" t="s">
        <v>388</v>
      </c>
      <c r="H20" s="159" t="s">
        <v>3</v>
      </c>
      <c r="I20" s="294" t="s">
        <v>30</v>
      </c>
      <c r="J20" s="149" t="s">
        <v>387</v>
      </c>
      <c r="K20" s="149" t="s">
        <v>388</v>
      </c>
      <c r="L20" s="159" t="s">
        <v>3</v>
      </c>
      <c r="M20" s="159" t="s">
        <v>30</v>
      </c>
      <c r="O20" s="145"/>
    </row>
    <row r="21" spans="1:15" x14ac:dyDescent="0.2">
      <c r="A21" s="418"/>
      <c r="B21" s="153"/>
      <c r="C21" s="153"/>
      <c r="D21" s="245" t="s">
        <v>4</v>
      </c>
      <c r="E21" s="153" t="s">
        <v>31</v>
      </c>
      <c r="F21" s="158"/>
      <c r="G21" s="158"/>
      <c r="H21" s="244" t="s">
        <v>4</v>
      </c>
      <c r="I21" s="153" t="s">
        <v>31</v>
      </c>
      <c r="J21" s="158"/>
      <c r="K21" s="158"/>
      <c r="L21" s="153" t="s">
        <v>4</v>
      </c>
      <c r="M21" s="153" t="s">
        <v>31</v>
      </c>
      <c r="O21" s="145"/>
    </row>
    <row r="22" spans="1:15" ht="15.75" x14ac:dyDescent="0.2">
      <c r="A22" s="14" t="s">
        <v>24</v>
      </c>
      <c r="B22" s="347">
        <v>0</v>
      </c>
      <c r="C22" s="348">
        <v>0</v>
      </c>
      <c r="D22" s="355">
        <f t="shared" ref="D22:D37" si="4">IF(AND(_xlfn.NUMBERVALUE(B22)=0,_xlfn.NUMBERVALUE(C22)=0),,IF(B22=0, "    ---- ", IF(ABS(ROUND(100/B22*C22-100,1))&lt;999,IF(ROUND(100/B22*C22-100,1)=0,"    ---- ",ROUND(100/B22*C22-100,1)),IF(ROUND(100/B22*C22-100,1)&gt;999,999,-999))))</f>
        <v>0</v>
      </c>
      <c r="E22" s="356">
        <f>IFERROR(100/'Skjema total MA'!C22*C22,0)</f>
        <v>0</v>
      </c>
      <c r="F22" s="364">
        <v>0</v>
      </c>
      <c r="G22" s="348">
        <v>0</v>
      </c>
      <c r="H22" s="355">
        <f t="shared" ref="H22:H33" si="5">IF(AND(_xlfn.NUMBERVALUE(F22)=0,_xlfn.NUMBERVALUE(G22)=0),,IF(F22=0, "    ---- ", IF(ABS(ROUND(100/F22*G22-100,1))&lt;999,IF(ROUND(100/F22*G22-100,1)=0,"    ---- ",ROUND(100/F22*G22-100,1)),IF(ROUND(100/F22*G22-100,1)&gt;999,999,-999))))</f>
        <v>0</v>
      </c>
      <c r="I22" s="356">
        <f>IFERROR(100/'Skjema total MA'!F22*G22,0)</f>
        <v>0</v>
      </c>
      <c r="J22" s="347">
        <f>SUM(B22,F22)</f>
        <v>0</v>
      </c>
      <c r="K22" s="347">
        <f>SUM(C22,G22)</f>
        <v>0</v>
      </c>
      <c r="L22" s="355">
        <f t="shared" ref="L22:L37" si="6">IF(AND(_xlfn.NUMBERVALUE(J22)=0,_xlfn.NUMBERVALUE(K22)=0),,IF(J22=0, "    ---- ", IF(ABS(ROUND(100/J22*K22-100,1))&lt;999,IF(ROUND(100/J22*K22-100,1)=0,"    ---- ",ROUND(100/J22*K22-100,1)),IF(ROUND(100/J22*K22-100,1)&gt;999,999,-999))))</f>
        <v>0</v>
      </c>
      <c r="M22" s="356">
        <f>IFERROR(100/'Skjema total MA'!I22*K22,0)</f>
        <v>0</v>
      </c>
      <c r="O22" s="145"/>
    </row>
    <row r="23" spans="1:15" ht="15.75" x14ac:dyDescent="0.2">
      <c r="A23" s="652" t="s">
        <v>401</v>
      </c>
      <c r="B23" s="359"/>
      <c r="C23" s="359"/>
      <c r="D23" s="358"/>
      <c r="E23" s="382"/>
      <c r="F23" s="359"/>
      <c r="G23" s="359"/>
      <c r="H23" s="358"/>
      <c r="I23" s="356"/>
      <c r="J23" s="359"/>
      <c r="K23" s="359"/>
      <c r="L23" s="358"/>
      <c r="M23" s="356"/>
      <c r="O23" s="145"/>
    </row>
    <row r="24" spans="1:15" ht="15.75" x14ac:dyDescent="0.2">
      <c r="A24" s="652" t="s">
        <v>402</v>
      </c>
      <c r="B24" s="359"/>
      <c r="C24" s="359"/>
      <c r="D24" s="358"/>
      <c r="E24" s="382"/>
      <c r="F24" s="359"/>
      <c r="G24" s="359"/>
      <c r="H24" s="358"/>
      <c r="I24" s="356"/>
      <c r="J24" s="359"/>
      <c r="K24" s="359"/>
      <c r="L24" s="358"/>
      <c r="M24" s="356"/>
      <c r="O24" s="145"/>
    </row>
    <row r="25" spans="1:15" ht="15.75" x14ac:dyDescent="0.2">
      <c r="A25" s="652" t="s">
        <v>403</v>
      </c>
      <c r="B25" s="359"/>
      <c r="C25" s="359"/>
      <c r="D25" s="358"/>
      <c r="E25" s="382"/>
      <c r="F25" s="359"/>
      <c r="G25" s="359"/>
      <c r="H25" s="358"/>
      <c r="I25" s="356"/>
      <c r="J25" s="359"/>
      <c r="K25" s="359"/>
      <c r="L25" s="358"/>
      <c r="M25" s="356"/>
      <c r="O25" s="145"/>
    </row>
    <row r="26" spans="1:15" x14ac:dyDescent="0.2">
      <c r="A26" s="652" t="s">
        <v>11</v>
      </c>
      <c r="B26" s="359"/>
      <c r="C26" s="359"/>
      <c r="D26" s="358"/>
      <c r="E26" s="382"/>
      <c r="F26" s="359"/>
      <c r="G26" s="359"/>
      <c r="H26" s="358"/>
      <c r="I26" s="356"/>
      <c r="J26" s="359"/>
      <c r="K26" s="359"/>
      <c r="L26" s="358"/>
      <c r="M26" s="356"/>
      <c r="O26" s="145"/>
    </row>
    <row r="27" spans="1:15" ht="15.75" x14ac:dyDescent="0.2">
      <c r="A27" s="47" t="s">
        <v>293</v>
      </c>
      <c r="B27" s="349">
        <v>0</v>
      </c>
      <c r="C27" s="350">
        <v>0</v>
      </c>
      <c r="D27" s="358">
        <f t="shared" si="4"/>
        <v>0</v>
      </c>
      <c r="E27" s="356">
        <f>IFERROR(100/'Skjema total MA'!C27*C27,0)</f>
        <v>0</v>
      </c>
      <c r="F27" s="361">
        <v>0</v>
      </c>
      <c r="G27" s="350">
        <v>0</v>
      </c>
      <c r="H27" s="358">
        <f t="shared" si="5"/>
        <v>0</v>
      </c>
      <c r="I27" s="356">
        <f>IFERROR(100/'Skjema total MA'!F27*G27,0)</f>
        <v>0</v>
      </c>
      <c r="J27" s="349">
        <f>SUM(B27,F27)</f>
        <v>0</v>
      </c>
      <c r="K27" s="349">
        <f>SUM(C27,G27)</f>
        <v>0</v>
      </c>
      <c r="L27" s="358">
        <f t="shared" si="6"/>
        <v>0</v>
      </c>
      <c r="M27" s="356">
        <f>IFERROR(100/'Skjema total MA'!I27*K27,0)</f>
        <v>0</v>
      </c>
      <c r="O27" s="145"/>
    </row>
    <row r="28" spans="1:15" s="3" customFormat="1" ht="15.75" x14ac:dyDescent="0.2">
      <c r="A28" s="13" t="s">
        <v>398</v>
      </c>
      <c r="B28" s="351">
        <v>0</v>
      </c>
      <c r="C28" s="352">
        <v>0</v>
      </c>
      <c r="D28" s="358">
        <f t="shared" si="4"/>
        <v>0</v>
      </c>
      <c r="E28" s="356">
        <f>IFERROR(100/'Skjema total MA'!C28*C28,0)</f>
        <v>0</v>
      </c>
      <c r="F28" s="357">
        <v>0</v>
      </c>
      <c r="G28" s="352">
        <v>0</v>
      </c>
      <c r="H28" s="358">
        <f t="shared" si="5"/>
        <v>0</v>
      </c>
      <c r="I28" s="356">
        <f>IFERROR(100/'Skjema total MA'!F28*G28,0)</f>
        <v>0</v>
      </c>
      <c r="J28" s="351">
        <f>SUM(B28,F28)</f>
        <v>0</v>
      </c>
      <c r="K28" s="351">
        <f>SUM(C28,G28)</f>
        <v>0</v>
      </c>
      <c r="L28" s="358">
        <f t="shared" si="6"/>
        <v>0</v>
      </c>
      <c r="M28" s="356">
        <f>IFERROR(100/'Skjema total MA'!I28*K28,0)</f>
        <v>0</v>
      </c>
      <c r="N28" s="145"/>
      <c r="O28" s="145"/>
    </row>
    <row r="29" spans="1:15" s="3" customFormat="1" ht="15.75" x14ac:dyDescent="0.2">
      <c r="A29" s="652" t="s">
        <v>401</v>
      </c>
      <c r="B29" s="359"/>
      <c r="C29" s="359"/>
      <c r="D29" s="358"/>
      <c r="E29" s="382"/>
      <c r="F29" s="359"/>
      <c r="G29" s="359"/>
      <c r="H29" s="358"/>
      <c r="I29" s="356"/>
      <c r="J29" s="359"/>
      <c r="K29" s="359"/>
      <c r="L29" s="358"/>
      <c r="M29" s="356"/>
      <c r="N29" s="145"/>
      <c r="O29" s="145"/>
    </row>
    <row r="30" spans="1:15" s="3" customFormat="1" ht="15.75" x14ac:dyDescent="0.2">
      <c r="A30" s="652" t="s">
        <v>402</v>
      </c>
      <c r="B30" s="359"/>
      <c r="C30" s="359"/>
      <c r="D30" s="358"/>
      <c r="E30" s="382"/>
      <c r="F30" s="359"/>
      <c r="G30" s="359"/>
      <c r="H30" s="358"/>
      <c r="I30" s="356"/>
      <c r="J30" s="359"/>
      <c r="K30" s="359"/>
      <c r="L30" s="358"/>
      <c r="M30" s="356"/>
      <c r="N30" s="145"/>
      <c r="O30" s="145"/>
    </row>
    <row r="31" spans="1:15" ht="15.75" x14ac:dyDescent="0.2">
      <c r="A31" s="652" t="s">
        <v>403</v>
      </c>
      <c r="B31" s="359"/>
      <c r="C31" s="359"/>
      <c r="D31" s="358"/>
      <c r="E31" s="382"/>
      <c r="F31" s="359"/>
      <c r="G31" s="359"/>
      <c r="H31" s="358"/>
      <c r="I31" s="356"/>
      <c r="J31" s="359"/>
      <c r="K31" s="359"/>
      <c r="L31" s="358"/>
      <c r="M31" s="356"/>
      <c r="O31" s="145"/>
    </row>
    <row r="32" spans="1:15" ht="15.75" x14ac:dyDescent="0.2">
      <c r="A32" s="13" t="s">
        <v>399</v>
      </c>
      <c r="B32" s="351">
        <v>0</v>
      </c>
      <c r="C32" s="352">
        <v>0</v>
      </c>
      <c r="D32" s="358">
        <f t="shared" si="4"/>
        <v>0</v>
      </c>
      <c r="E32" s="356">
        <f>IFERROR(100/'Skjema total MA'!C32*C32,0)</f>
        <v>0</v>
      </c>
      <c r="F32" s="357">
        <v>0</v>
      </c>
      <c r="G32" s="352">
        <v>0</v>
      </c>
      <c r="H32" s="358">
        <f t="shared" si="5"/>
        <v>0</v>
      </c>
      <c r="I32" s="356">
        <f>IFERROR(100/'Skjema total MA'!F32*G32,0)</f>
        <v>0</v>
      </c>
      <c r="J32" s="351">
        <f t="shared" ref="J32:K37" si="7">SUM(B32,F32)</f>
        <v>0</v>
      </c>
      <c r="K32" s="351">
        <f t="shared" si="7"/>
        <v>0</v>
      </c>
      <c r="L32" s="358">
        <f t="shared" si="6"/>
        <v>0</v>
      </c>
      <c r="M32" s="356">
        <f>IFERROR(100/'Skjema total MA'!I32*K32,0)</f>
        <v>0</v>
      </c>
      <c r="O32" s="145"/>
    </row>
    <row r="33" spans="1:15" ht="15.75" x14ac:dyDescent="0.2">
      <c r="A33" s="13" t="s">
        <v>400</v>
      </c>
      <c r="B33" s="351">
        <v>0</v>
      </c>
      <c r="C33" s="352">
        <v>0</v>
      </c>
      <c r="D33" s="358">
        <f t="shared" si="4"/>
        <v>0</v>
      </c>
      <c r="E33" s="356">
        <f>IFERROR(100/'Skjema total MA'!C33*C33,0)</f>
        <v>0</v>
      </c>
      <c r="F33" s="357">
        <v>0</v>
      </c>
      <c r="G33" s="352">
        <v>0</v>
      </c>
      <c r="H33" s="358">
        <f t="shared" si="5"/>
        <v>0</v>
      </c>
      <c r="I33" s="356">
        <f>IFERROR(100/'Skjema total MA'!F33*G33,0)</f>
        <v>0</v>
      </c>
      <c r="J33" s="351">
        <f t="shared" si="7"/>
        <v>0</v>
      </c>
      <c r="K33" s="351">
        <f t="shared" si="7"/>
        <v>0</v>
      </c>
      <c r="L33" s="358">
        <f t="shared" si="6"/>
        <v>0</v>
      </c>
      <c r="M33" s="356">
        <f>IFERROR(100/'Skjema total MA'!I33*K33,0)</f>
        <v>0</v>
      </c>
      <c r="O33" s="145"/>
    </row>
    <row r="34" spans="1:15" ht="15.75" x14ac:dyDescent="0.2">
      <c r="A34" s="12" t="s">
        <v>301</v>
      </c>
      <c r="B34" s="351">
        <v>0</v>
      </c>
      <c r="C34" s="352">
        <v>0</v>
      </c>
      <c r="D34" s="358">
        <f t="shared" si="4"/>
        <v>0</v>
      </c>
      <c r="E34" s="356">
        <f>100/'Skjema total MA'!C34*C34</f>
        <v>0</v>
      </c>
      <c r="F34" s="365"/>
      <c r="G34" s="366"/>
      <c r="H34" s="358"/>
      <c r="I34" s="356"/>
      <c r="J34" s="351">
        <f t="shared" si="7"/>
        <v>0</v>
      </c>
      <c r="K34" s="351">
        <f t="shared" si="7"/>
        <v>0</v>
      </c>
      <c r="L34" s="358">
        <f t="shared" si="6"/>
        <v>0</v>
      </c>
      <c r="M34" s="356">
        <f>IFERROR(100/'Skjema total MA'!I34*K34,0)</f>
        <v>0</v>
      </c>
      <c r="O34" s="145"/>
    </row>
    <row r="35" spans="1:15" ht="15.75" x14ac:dyDescent="0.2">
      <c r="A35" s="12" t="s">
        <v>404</v>
      </c>
      <c r="B35" s="351">
        <v>0</v>
      </c>
      <c r="C35" s="352">
        <v>0</v>
      </c>
      <c r="D35" s="358">
        <f t="shared" si="4"/>
        <v>0</v>
      </c>
      <c r="E35" s="356">
        <f>100/'Skjema total MA'!C35*C35</f>
        <v>0</v>
      </c>
      <c r="F35" s="365"/>
      <c r="G35" s="367"/>
      <c r="H35" s="358"/>
      <c r="I35" s="356"/>
      <c r="J35" s="351">
        <f t="shared" si="7"/>
        <v>0</v>
      </c>
      <c r="K35" s="351">
        <f t="shared" si="7"/>
        <v>0</v>
      </c>
      <c r="L35" s="358">
        <f t="shared" si="6"/>
        <v>0</v>
      </c>
      <c r="M35" s="356">
        <f>IFERROR(100/'Skjema total MA'!I35*K35,0)</f>
        <v>0</v>
      </c>
      <c r="O35" s="145"/>
    </row>
    <row r="36" spans="1:15" ht="15.75" x14ac:dyDescent="0.2">
      <c r="A36" s="12" t="s">
        <v>405</v>
      </c>
      <c r="B36" s="351">
        <v>0</v>
      </c>
      <c r="C36" s="352">
        <v>0</v>
      </c>
      <c r="D36" s="358">
        <f t="shared" si="4"/>
        <v>0</v>
      </c>
      <c r="E36" s="163"/>
      <c r="F36" s="365"/>
      <c r="G36" s="366"/>
      <c r="H36" s="358"/>
      <c r="I36" s="356"/>
      <c r="J36" s="351">
        <f t="shared" si="7"/>
        <v>0</v>
      </c>
      <c r="K36" s="351">
        <f t="shared" si="7"/>
        <v>0</v>
      </c>
      <c r="L36" s="358">
        <f t="shared" si="6"/>
        <v>0</v>
      </c>
      <c r="M36" s="356">
        <f>IFERROR(100/'Skjema total MA'!I36*K36,0)</f>
        <v>0</v>
      </c>
      <c r="O36" s="145"/>
    </row>
    <row r="37" spans="1:15" ht="15.75" x14ac:dyDescent="0.2">
      <c r="A37" s="17" t="s">
        <v>406</v>
      </c>
      <c r="B37" s="353">
        <v>0</v>
      </c>
      <c r="C37" s="354">
        <v>0</v>
      </c>
      <c r="D37" s="362">
        <f t="shared" si="4"/>
        <v>0</v>
      </c>
      <c r="E37" s="164"/>
      <c r="F37" s="368"/>
      <c r="G37" s="369"/>
      <c r="H37" s="362"/>
      <c r="I37" s="356"/>
      <c r="J37" s="351">
        <f t="shared" si="7"/>
        <v>0</v>
      </c>
      <c r="K37" s="351">
        <f t="shared" si="7"/>
        <v>0</v>
      </c>
      <c r="L37" s="362">
        <f t="shared" si="6"/>
        <v>0</v>
      </c>
      <c r="M37" s="362">
        <f>IFERROR(100/'Skjema total MA'!I37*K37,0)</f>
        <v>0</v>
      </c>
      <c r="O37" s="145"/>
    </row>
    <row r="38" spans="1:15" ht="15.75" x14ac:dyDescent="0.25">
      <c r="A38" s="45"/>
      <c r="B38" s="252"/>
      <c r="C38" s="252"/>
      <c r="D38" s="346"/>
      <c r="E38" s="346"/>
      <c r="F38" s="346"/>
      <c r="G38" s="346"/>
      <c r="H38" s="346"/>
      <c r="I38" s="346"/>
      <c r="J38" s="346"/>
      <c r="K38" s="346"/>
      <c r="L38" s="346"/>
      <c r="M38" s="345"/>
      <c r="O38" s="145"/>
    </row>
    <row r="39" spans="1:15" x14ac:dyDescent="0.2">
      <c r="A39" s="152"/>
      <c r="O39" s="145"/>
    </row>
    <row r="40" spans="1:15" ht="15.75" x14ac:dyDescent="0.25">
      <c r="A40" s="144" t="s">
        <v>290</v>
      </c>
      <c r="B40" s="344"/>
      <c r="C40" s="344"/>
      <c r="D40" s="344"/>
      <c r="E40" s="344"/>
      <c r="F40" s="345"/>
      <c r="G40" s="345"/>
      <c r="H40" s="345"/>
      <c r="I40" s="345"/>
      <c r="J40" s="345"/>
      <c r="K40" s="345"/>
      <c r="L40" s="345"/>
      <c r="M40" s="345"/>
      <c r="O40" s="145"/>
    </row>
    <row r="41" spans="1:15" ht="15.75" x14ac:dyDescent="0.25">
      <c r="A41" s="160"/>
      <c r="B41" s="343"/>
      <c r="C41" s="343"/>
      <c r="D41" s="343"/>
      <c r="E41" s="343"/>
      <c r="F41" s="345"/>
      <c r="G41" s="345"/>
      <c r="H41" s="345"/>
      <c r="I41" s="345"/>
      <c r="J41" s="345"/>
      <c r="K41" s="345"/>
      <c r="L41" s="345"/>
      <c r="M41" s="345"/>
      <c r="O41" s="145"/>
    </row>
    <row r="42" spans="1:15" ht="15.75" x14ac:dyDescent="0.25">
      <c r="A42" s="246"/>
      <c r="B42" s="690" t="s">
        <v>0</v>
      </c>
      <c r="C42" s="691"/>
      <c r="D42" s="691"/>
      <c r="E42" s="242"/>
      <c r="F42" s="345"/>
      <c r="G42" s="345"/>
      <c r="H42" s="345"/>
      <c r="I42" s="345"/>
      <c r="J42" s="345"/>
      <c r="K42" s="345"/>
      <c r="L42" s="345"/>
      <c r="M42" s="345"/>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403" customFormat="1" ht="15.75" x14ac:dyDescent="0.2">
      <c r="A45" s="14" t="s">
        <v>24</v>
      </c>
      <c r="B45" s="351">
        <v>0</v>
      </c>
      <c r="C45" s="352">
        <v>0</v>
      </c>
      <c r="D45" s="407">
        <f>IF(AND(_xlfn.NUMBERVALUE(B45)=0,_xlfn.NUMBERVALUE(C45)=0),,IF(B45=0, "    ---- ", IF(ABS(ROUND(100/B45*C45-100,1))&lt;999,IF(ROUND(100/B45*C45-100,1)=0,"    ---- ",ROUND(100/B45*C45-100,1)),IF(ROUND(100/B45*C45-100,1)&gt;999,999,-999))))</f>
        <v>0</v>
      </c>
      <c r="E45" s="408">
        <f>IFERROR(100/'Skjema total MA'!C45*C45,0)</f>
        <v>0</v>
      </c>
      <c r="F45" s="156"/>
      <c r="G45" s="171"/>
      <c r="H45" s="156"/>
      <c r="I45" s="156"/>
      <c r="J45" s="406"/>
      <c r="K45" s="406"/>
      <c r="L45" s="156"/>
      <c r="M45" s="156"/>
      <c r="N45" s="409"/>
      <c r="O45" s="409"/>
    </row>
    <row r="46" spans="1:15" s="3" customFormat="1" ht="15.75" x14ac:dyDescent="0.2">
      <c r="A46" s="36" t="s">
        <v>407</v>
      </c>
      <c r="B46" s="349">
        <v>0</v>
      </c>
      <c r="C46" s="350">
        <v>0</v>
      </c>
      <c r="D46" s="358">
        <f t="shared" ref="D46:D56" si="8">IF(AND(_xlfn.NUMBERVALUE(B46)=0,_xlfn.NUMBERVALUE(C46)=0),,IF(B46=0, "    ---- ", IF(ABS(ROUND(100/B46*C46-100,1))&lt;999,IF(ROUND(100/B46*C46-100,1)=0,"    ---- ",ROUND(100/B46*C46-100,1)),IF(ROUND(100/B46*C46-100,1)&gt;999,999,-999))))</f>
        <v>0</v>
      </c>
      <c r="E46" s="396">
        <f>IFERROR(100/'Skjema total MA'!C46*C46,0)</f>
        <v>0</v>
      </c>
      <c r="F46" s="142"/>
      <c r="G46" s="31"/>
      <c r="H46" s="142"/>
      <c r="I46" s="142"/>
      <c r="J46" s="31"/>
      <c r="K46" s="31"/>
      <c r="L46" s="156"/>
      <c r="M46" s="156"/>
      <c r="N46" s="145"/>
      <c r="O46" s="145"/>
    </row>
    <row r="47" spans="1:15" s="3" customFormat="1" ht="15.75" x14ac:dyDescent="0.2">
      <c r="A47" s="36" t="s">
        <v>408</v>
      </c>
      <c r="B47" s="349">
        <v>0</v>
      </c>
      <c r="C47" s="350">
        <v>0</v>
      </c>
      <c r="D47" s="358">
        <f t="shared" si="8"/>
        <v>0</v>
      </c>
      <c r="E47" s="396">
        <f>IFERROR(100/'Skjema total MA'!C47*C47,0)</f>
        <v>0</v>
      </c>
      <c r="F47" s="142"/>
      <c r="G47" s="31"/>
      <c r="H47" s="142"/>
      <c r="I47" s="142"/>
      <c r="J47" s="35"/>
      <c r="K47" s="35"/>
      <c r="L47" s="156"/>
      <c r="M47" s="156"/>
      <c r="N47" s="145"/>
      <c r="O47" s="145"/>
    </row>
    <row r="48" spans="1:15" s="3" customFormat="1" x14ac:dyDescent="0.2">
      <c r="A48" s="652" t="s">
        <v>6</v>
      </c>
      <c r="B48" s="359"/>
      <c r="C48" s="360"/>
      <c r="D48" s="358"/>
      <c r="E48" s="397"/>
      <c r="F48" s="142"/>
      <c r="G48" s="31"/>
      <c r="H48" s="142"/>
      <c r="I48" s="142"/>
      <c r="J48" s="31"/>
      <c r="K48" s="31"/>
      <c r="L48" s="156"/>
      <c r="M48" s="156"/>
      <c r="N48" s="145"/>
      <c r="O48" s="145"/>
    </row>
    <row r="49" spans="1:15" s="3" customFormat="1" x14ac:dyDescent="0.2">
      <c r="A49" s="652" t="s">
        <v>7</v>
      </c>
      <c r="B49" s="359"/>
      <c r="C49" s="360"/>
      <c r="D49" s="358"/>
      <c r="E49" s="397"/>
      <c r="F49" s="142"/>
      <c r="G49" s="31"/>
      <c r="H49" s="142"/>
      <c r="I49" s="142"/>
      <c r="J49" s="31"/>
      <c r="K49" s="31"/>
      <c r="L49" s="156"/>
      <c r="M49" s="156"/>
      <c r="N49" s="145"/>
      <c r="O49" s="145"/>
    </row>
    <row r="50" spans="1:15" s="3" customFormat="1" x14ac:dyDescent="0.2">
      <c r="A50" s="652" t="s">
        <v>8</v>
      </c>
      <c r="B50" s="359"/>
      <c r="C50" s="360"/>
      <c r="D50" s="358"/>
      <c r="E50" s="397"/>
      <c r="F50" s="142"/>
      <c r="G50" s="31"/>
      <c r="H50" s="142"/>
      <c r="I50" s="142"/>
      <c r="J50" s="31"/>
      <c r="K50" s="31"/>
      <c r="L50" s="156"/>
      <c r="M50" s="156"/>
      <c r="N50" s="145"/>
      <c r="O50" s="145"/>
    </row>
    <row r="51" spans="1:15" s="3" customFormat="1" ht="15.75" x14ac:dyDescent="0.2">
      <c r="A51" s="37" t="s">
        <v>409</v>
      </c>
      <c r="B51" s="351">
        <v>0</v>
      </c>
      <c r="C51" s="352">
        <v>0</v>
      </c>
      <c r="D51" s="358">
        <f t="shared" si="8"/>
        <v>0</v>
      </c>
      <c r="E51" s="396">
        <f>IFERROR(100/'Skjema total MA'!C51*C51,0)</f>
        <v>0</v>
      </c>
      <c r="F51" s="142"/>
      <c r="G51" s="31"/>
      <c r="H51" s="142"/>
      <c r="I51" s="142"/>
      <c r="J51" s="31"/>
      <c r="K51" s="31"/>
      <c r="L51" s="156"/>
      <c r="M51" s="156"/>
      <c r="N51" s="145"/>
      <c r="O51" s="145"/>
    </row>
    <row r="52" spans="1:15" s="3" customFormat="1" ht="15.75" x14ac:dyDescent="0.2">
      <c r="A52" s="36" t="s">
        <v>407</v>
      </c>
      <c r="B52" s="349">
        <v>0</v>
      </c>
      <c r="C52" s="350">
        <v>0</v>
      </c>
      <c r="D52" s="358">
        <f t="shared" si="8"/>
        <v>0</v>
      </c>
      <c r="E52" s="396">
        <f>IFERROR(100/'Skjema total MA'!C52*C52,0)</f>
        <v>0</v>
      </c>
      <c r="F52" s="142"/>
      <c r="G52" s="31"/>
      <c r="H52" s="142"/>
      <c r="I52" s="142"/>
      <c r="J52" s="31"/>
      <c r="K52" s="31"/>
      <c r="L52" s="156"/>
      <c r="M52" s="156"/>
      <c r="N52" s="145"/>
      <c r="O52" s="145"/>
    </row>
    <row r="53" spans="1:15" s="3" customFormat="1" ht="15.75" x14ac:dyDescent="0.2">
      <c r="A53" s="36" t="s">
        <v>408</v>
      </c>
      <c r="B53" s="349">
        <v>0</v>
      </c>
      <c r="C53" s="350">
        <v>0</v>
      </c>
      <c r="D53" s="358">
        <f t="shared" si="8"/>
        <v>0</v>
      </c>
      <c r="E53" s="396">
        <f>IFERROR(100/'Skjema total MA'!C53*C53,0)</f>
        <v>0</v>
      </c>
      <c r="F53" s="142"/>
      <c r="G53" s="31"/>
      <c r="H53" s="142"/>
      <c r="I53" s="142"/>
      <c r="J53" s="31"/>
      <c r="K53" s="31"/>
      <c r="L53" s="156"/>
      <c r="M53" s="156"/>
      <c r="N53" s="145"/>
      <c r="O53" s="145"/>
    </row>
    <row r="54" spans="1:15" s="3" customFormat="1" ht="15.75" x14ac:dyDescent="0.2">
      <c r="A54" s="37" t="s">
        <v>410</v>
      </c>
      <c r="B54" s="351">
        <v>0</v>
      </c>
      <c r="C54" s="352">
        <v>0</v>
      </c>
      <c r="D54" s="358">
        <f t="shared" si="8"/>
        <v>0</v>
      </c>
      <c r="E54" s="396">
        <f>IFERROR(100/'Skjema total MA'!C54*C54,0)</f>
        <v>0</v>
      </c>
      <c r="F54" s="142"/>
      <c r="G54" s="31"/>
      <c r="H54" s="142"/>
      <c r="I54" s="142"/>
      <c r="J54" s="31"/>
      <c r="K54" s="31"/>
      <c r="L54" s="156"/>
      <c r="M54" s="156"/>
      <c r="N54" s="145"/>
      <c r="O54" s="145"/>
    </row>
    <row r="55" spans="1:15" s="3" customFormat="1" ht="15.75" x14ac:dyDescent="0.2">
      <c r="A55" s="36" t="s">
        <v>407</v>
      </c>
      <c r="B55" s="349">
        <v>0</v>
      </c>
      <c r="C55" s="350">
        <v>0</v>
      </c>
      <c r="D55" s="358">
        <f t="shared" si="8"/>
        <v>0</v>
      </c>
      <c r="E55" s="396">
        <f>IFERROR(100/'Skjema total MA'!C55*C55,0)</f>
        <v>0</v>
      </c>
      <c r="F55" s="142"/>
      <c r="G55" s="31"/>
      <c r="H55" s="142"/>
      <c r="I55" s="142"/>
      <c r="J55" s="31"/>
      <c r="K55" s="31"/>
      <c r="L55" s="156"/>
      <c r="M55" s="156"/>
      <c r="N55" s="145"/>
      <c r="O55" s="145"/>
    </row>
    <row r="56" spans="1:15" s="3" customFormat="1" ht="15.75" x14ac:dyDescent="0.2">
      <c r="A56" s="44" t="s">
        <v>408</v>
      </c>
      <c r="B56" s="370">
        <v>0</v>
      </c>
      <c r="C56" s="371">
        <v>0</v>
      </c>
      <c r="D56" s="362">
        <f t="shared" si="8"/>
        <v>0</v>
      </c>
      <c r="E56" s="398">
        <f>IFERROR(100/'Skjema total MA'!C56*C56,0)</f>
        <v>0</v>
      </c>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343"/>
      <c r="C60" s="343"/>
      <c r="D60" s="343"/>
      <c r="E60" s="344"/>
      <c r="F60" s="343"/>
      <c r="G60" s="343"/>
      <c r="H60" s="343"/>
      <c r="I60" s="344"/>
      <c r="J60" s="343"/>
      <c r="K60" s="343"/>
      <c r="L60" s="343"/>
      <c r="M60" s="344"/>
      <c r="O60" s="145"/>
    </row>
    <row r="61" spans="1:15" x14ac:dyDescent="0.2">
      <c r="A61" s="141"/>
      <c r="B61" s="690" t="s">
        <v>0</v>
      </c>
      <c r="C61" s="691"/>
      <c r="D61" s="692"/>
      <c r="E61" s="340"/>
      <c r="F61" s="691" t="s">
        <v>1</v>
      </c>
      <c r="G61" s="691"/>
      <c r="H61" s="691"/>
      <c r="I61" s="342"/>
      <c r="J61" s="690" t="s">
        <v>2</v>
      </c>
      <c r="K61" s="691"/>
      <c r="L61" s="691"/>
      <c r="M61" s="342"/>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72">
        <v>0</v>
      </c>
      <c r="C64" s="372">
        <v>0</v>
      </c>
      <c r="D64" s="355">
        <f t="shared" ref="D64:D109" si="9">IF(AND(_xlfn.NUMBERVALUE(B64)=0,_xlfn.NUMBERVALUE(C64)=0),,IF(B64=0, "    ---- ", IF(ABS(ROUND(100/B64*C64-100,1))&lt;999,IF(ROUND(100/B64*C64-100,1)=0,"    ---- ",ROUND(100/B64*C64-100,1)),IF(ROUND(100/B64*C64-100,1)&gt;999,999,-999))))</f>
        <v>0</v>
      </c>
      <c r="E64" s="356">
        <f>IFERROR(100/'Skjema total MA'!C64*C64,0)</f>
        <v>0</v>
      </c>
      <c r="F64" s="372">
        <v>0</v>
      </c>
      <c r="G64" s="372">
        <v>0</v>
      </c>
      <c r="H64" s="355">
        <f t="shared" ref="H64:H109" si="10">IF(AND(_xlfn.NUMBERVALUE(F64)=0,_xlfn.NUMBERVALUE(G64)=0),,IF(F64=0, "    ---- ", IF(ABS(ROUND(100/F64*G64-100,1))&lt;999,IF(ROUND(100/F64*G64-100,1)=0,"    ---- ",ROUND(100/F64*G64-100,1)),IF(ROUND(100/F64*G64-100,1)&gt;999,999,-999))))</f>
        <v>0</v>
      </c>
      <c r="I64" s="356">
        <f>IFERROR(100/'Skjema total MA'!F64*G64,0)</f>
        <v>0</v>
      </c>
      <c r="J64" s="352">
        <f t="shared" ref="J64:K66" si="11">SUM(B64,F64)</f>
        <v>0</v>
      </c>
      <c r="K64" s="347">
        <f t="shared" si="11"/>
        <v>0</v>
      </c>
      <c r="L64" s="358">
        <f t="shared" ref="L64:L109" si="12">IF(AND(_xlfn.NUMBERVALUE(J64)=0,_xlfn.NUMBERVALUE(K64)=0),,IF(J64=0, "    ---- ", IF(ABS(ROUND(100/J64*K64-100,1))&lt;999,IF(ROUND(100/J64*K64-100,1)=0,"    ---- ",ROUND(100/J64*K64-100,1)),IF(ROUND(100/J64*K64-100,1)&gt;999,999,-999))))</f>
        <v>0</v>
      </c>
      <c r="M64" s="356">
        <f>IFERROR(100/'Skjema total MA'!I64*K64,0)</f>
        <v>0</v>
      </c>
      <c r="O64" s="145"/>
    </row>
    <row r="65" spans="1:15" x14ac:dyDescent="0.2">
      <c r="A65" s="402" t="s">
        <v>9</v>
      </c>
      <c r="B65" s="349">
        <v>0</v>
      </c>
      <c r="C65" s="373">
        <v>0</v>
      </c>
      <c r="D65" s="358">
        <f t="shared" si="9"/>
        <v>0</v>
      </c>
      <c r="E65" s="356">
        <f>IFERROR(100/'Skjema total MA'!C65*C65,0)</f>
        <v>0</v>
      </c>
      <c r="F65" s="361">
        <v>0</v>
      </c>
      <c r="G65" s="373">
        <v>0</v>
      </c>
      <c r="H65" s="358">
        <f t="shared" si="10"/>
        <v>0</v>
      </c>
      <c r="I65" s="356">
        <f>IFERROR(100/'Skjema total MA'!F65*G65,0)</f>
        <v>0</v>
      </c>
      <c r="J65" s="350">
        <f t="shared" si="11"/>
        <v>0</v>
      </c>
      <c r="K65" s="349">
        <f t="shared" si="11"/>
        <v>0</v>
      </c>
      <c r="L65" s="358">
        <f t="shared" si="12"/>
        <v>0</v>
      </c>
      <c r="M65" s="356">
        <f>IFERROR(100/'Skjema total MA'!I65*K65,0)</f>
        <v>0</v>
      </c>
      <c r="O65" s="145"/>
    </row>
    <row r="66" spans="1:15" x14ac:dyDescent="0.2">
      <c r="A66" s="19" t="s">
        <v>10</v>
      </c>
      <c r="B66" s="374">
        <v>0</v>
      </c>
      <c r="C66" s="375">
        <v>0</v>
      </c>
      <c r="D66" s="358">
        <f t="shared" si="9"/>
        <v>0</v>
      </c>
      <c r="E66" s="356">
        <f>IFERROR(100/'Skjema total MA'!C66*C66,0)</f>
        <v>0</v>
      </c>
      <c r="F66" s="374">
        <v>0</v>
      </c>
      <c r="G66" s="375">
        <v>0</v>
      </c>
      <c r="H66" s="358">
        <f t="shared" si="10"/>
        <v>0</v>
      </c>
      <c r="I66" s="356">
        <f>IFERROR(100/'Skjema total MA'!F66*G66,0)</f>
        <v>0</v>
      </c>
      <c r="J66" s="350">
        <f t="shared" si="11"/>
        <v>0</v>
      </c>
      <c r="K66" s="349">
        <f t="shared" si="11"/>
        <v>0</v>
      </c>
      <c r="L66" s="358">
        <f t="shared" si="12"/>
        <v>0</v>
      </c>
      <c r="M66" s="356">
        <f>IFERROR(100/'Skjema total MA'!I66*K66,0)</f>
        <v>0</v>
      </c>
      <c r="O66" s="145"/>
    </row>
    <row r="67" spans="1:15" ht="15.75" x14ac:dyDescent="0.2">
      <c r="A67" s="652" t="s">
        <v>411</v>
      </c>
      <c r="B67" s="359"/>
      <c r="C67" s="359"/>
      <c r="D67" s="358"/>
      <c r="E67" s="382"/>
      <c r="F67" s="359"/>
      <c r="G67" s="359"/>
      <c r="H67" s="358"/>
      <c r="I67" s="356"/>
      <c r="J67" s="359"/>
      <c r="K67" s="359"/>
      <c r="L67" s="358"/>
      <c r="M67" s="356"/>
      <c r="O67" s="145"/>
    </row>
    <row r="68" spans="1:15" x14ac:dyDescent="0.2">
      <c r="A68" s="652" t="s">
        <v>12</v>
      </c>
      <c r="B68" s="376"/>
      <c r="C68" s="377"/>
      <c r="D68" s="358"/>
      <c r="E68" s="382"/>
      <c r="F68" s="359"/>
      <c r="G68" s="359"/>
      <c r="H68" s="358"/>
      <c r="I68" s="356"/>
      <c r="J68" s="359"/>
      <c r="K68" s="359"/>
      <c r="L68" s="358"/>
      <c r="M68" s="356"/>
      <c r="O68" s="145"/>
    </row>
    <row r="69" spans="1:15" x14ac:dyDescent="0.2">
      <c r="A69" s="652" t="s">
        <v>13</v>
      </c>
      <c r="B69" s="378"/>
      <c r="C69" s="379"/>
      <c r="D69" s="358"/>
      <c r="E69" s="382"/>
      <c r="F69" s="359"/>
      <c r="G69" s="359"/>
      <c r="H69" s="358"/>
      <c r="I69" s="356"/>
      <c r="J69" s="359"/>
      <c r="K69" s="359"/>
      <c r="L69" s="358"/>
      <c r="M69" s="356"/>
      <c r="O69" s="145"/>
    </row>
    <row r="70" spans="1:15" ht="15.75" x14ac:dyDescent="0.2">
      <c r="A70" s="652" t="s">
        <v>412</v>
      </c>
      <c r="B70" s="359"/>
      <c r="C70" s="359"/>
      <c r="D70" s="358"/>
      <c r="E70" s="382"/>
      <c r="F70" s="359"/>
      <c r="G70" s="359"/>
      <c r="H70" s="358"/>
      <c r="I70" s="356"/>
      <c r="J70" s="359"/>
      <c r="K70" s="359"/>
      <c r="L70" s="358"/>
      <c r="M70" s="356"/>
      <c r="O70" s="145"/>
    </row>
    <row r="71" spans="1:15" x14ac:dyDescent="0.2">
      <c r="A71" s="652" t="s">
        <v>12</v>
      </c>
      <c r="B71" s="378"/>
      <c r="C71" s="379"/>
      <c r="D71" s="358"/>
      <c r="E71" s="382"/>
      <c r="F71" s="359"/>
      <c r="G71" s="359"/>
      <c r="H71" s="358"/>
      <c r="I71" s="356"/>
      <c r="J71" s="359"/>
      <c r="K71" s="359"/>
      <c r="L71" s="358"/>
      <c r="M71" s="356"/>
      <c r="O71" s="145"/>
    </row>
    <row r="72" spans="1:15" s="3" customFormat="1" x14ac:dyDescent="0.2">
      <c r="A72" s="652" t="s">
        <v>13</v>
      </c>
      <c r="B72" s="378"/>
      <c r="C72" s="379"/>
      <c r="D72" s="358"/>
      <c r="E72" s="382"/>
      <c r="F72" s="359"/>
      <c r="G72" s="359"/>
      <c r="H72" s="358"/>
      <c r="I72" s="356"/>
      <c r="J72" s="359"/>
      <c r="K72" s="359"/>
      <c r="L72" s="358"/>
      <c r="M72" s="356"/>
      <c r="N72" s="145"/>
      <c r="O72" s="145"/>
    </row>
    <row r="73" spans="1:15" s="3" customFormat="1" x14ac:dyDescent="0.2">
      <c r="A73" s="19" t="s">
        <v>370</v>
      </c>
      <c r="B73" s="361">
        <v>0</v>
      </c>
      <c r="C73" s="373">
        <v>0</v>
      </c>
      <c r="D73" s="358">
        <f t="shared" si="9"/>
        <v>0</v>
      </c>
      <c r="E73" s="356">
        <f>IFERROR(100/'Skjema total MA'!C73*C73,0)</f>
        <v>0</v>
      </c>
      <c r="F73" s="361">
        <v>0</v>
      </c>
      <c r="G73" s="373">
        <v>0</v>
      </c>
      <c r="H73" s="358">
        <f t="shared" si="10"/>
        <v>0</v>
      </c>
      <c r="I73" s="356">
        <f>IFERROR(100/'Skjema total MA'!F73*G73,0)</f>
        <v>0</v>
      </c>
      <c r="J73" s="350">
        <f t="shared" ref="J73:K77" si="13">SUM(B73,F73)</f>
        <v>0</v>
      </c>
      <c r="K73" s="349">
        <f t="shared" si="13"/>
        <v>0</v>
      </c>
      <c r="L73" s="358">
        <f t="shared" si="12"/>
        <v>0</v>
      </c>
      <c r="M73" s="356">
        <f>IFERROR(100/'Skjema total MA'!I73*K73,0)</f>
        <v>0</v>
      </c>
      <c r="N73" s="145"/>
      <c r="O73" s="145"/>
    </row>
    <row r="74" spans="1:15" s="3" customFormat="1" x14ac:dyDescent="0.2">
      <c r="A74" s="19" t="s">
        <v>369</v>
      </c>
      <c r="B74" s="361">
        <v>0</v>
      </c>
      <c r="C74" s="373">
        <v>0</v>
      </c>
      <c r="D74" s="358">
        <f>IF(AND(_xlfn.NUMBERVALUE(B74)=0,_xlfn.NUMBERVALUE(C74)=0),,IF(B74=0, "    ---- ", IF(ABS(ROUND(100/B74*C74-100,1))&lt;999,IF(ROUND(100/B74*C74-100,1)=0,"    ---- ",ROUND(100/B74*C74-100,1)),IF(ROUND(100/B74*C74-100,1)&gt;999,999,-999))))</f>
        <v>0</v>
      </c>
      <c r="E74" s="356">
        <f>IFERROR(100/'Skjema total MA'!C75*C74,0)</f>
        <v>0</v>
      </c>
      <c r="F74" s="361">
        <v>0</v>
      </c>
      <c r="G74" s="373">
        <v>0</v>
      </c>
      <c r="H74" s="358">
        <f>IF(AND(_xlfn.NUMBERVALUE(F74)=0,_xlfn.NUMBERVALUE(G74)=0),,IF(F74=0, "    ---- ", IF(ABS(ROUND(100/F74*G74-100,1))&lt;999,IF(ROUND(100/F74*G74-100,1)=0,"    ---- ",ROUND(100/F74*G74-100,1)),IF(ROUND(100/F74*G74-100,1)&gt;999,999,-999))))</f>
        <v>0</v>
      </c>
      <c r="I74" s="356">
        <f>IFERROR(100/'Skjema total MA'!F75*G74,0)</f>
        <v>0</v>
      </c>
      <c r="J74" s="350">
        <f t="shared" si="13"/>
        <v>0</v>
      </c>
      <c r="K74" s="349">
        <f t="shared" si="13"/>
        <v>0</v>
      </c>
      <c r="L74" s="358">
        <f>IF(AND(_xlfn.NUMBERVALUE(J74)=0,_xlfn.NUMBERVALUE(K74)=0),,IF(J74=0, "    ---- ", IF(ABS(ROUND(100/J74*K74-100,1))&lt;999,IF(ROUND(100/J74*K74-100,1)=0,"    ---- ",ROUND(100/J74*K74-100,1)),IF(ROUND(100/J74*K74-100,1)&gt;999,999,-999))))</f>
        <v>0</v>
      </c>
      <c r="M74" s="356">
        <f>IFERROR(100/'Skjema total MA'!I75*K74,0)</f>
        <v>0</v>
      </c>
      <c r="N74" s="145"/>
      <c r="O74" s="145"/>
    </row>
    <row r="75" spans="1:15" ht="15.75" x14ac:dyDescent="0.2">
      <c r="A75" s="19" t="s">
        <v>413</v>
      </c>
      <c r="B75" s="361">
        <v>0</v>
      </c>
      <c r="C75" s="361">
        <v>0</v>
      </c>
      <c r="D75" s="358">
        <f t="shared" si="9"/>
        <v>0</v>
      </c>
      <c r="E75" s="356">
        <f>IFERROR(100/'Skjema total MA'!C75*C75,0)</f>
        <v>0</v>
      </c>
      <c r="F75" s="361">
        <v>0</v>
      </c>
      <c r="G75" s="373">
        <v>0</v>
      </c>
      <c r="H75" s="358">
        <f t="shared" si="10"/>
        <v>0</v>
      </c>
      <c r="I75" s="356">
        <f>IFERROR(100/'Skjema total MA'!F75*G75,0)</f>
        <v>0</v>
      </c>
      <c r="J75" s="350">
        <f t="shared" si="13"/>
        <v>0</v>
      </c>
      <c r="K75" s="349">
        <f t="shared" si="13"/>
        <v>0</v>
      </c>
      <c r="L75" s="358">
        <f t="shared" si="12"/>
        <v>0</v>
      </c>
      <c r="M75" s="356">
        <f>IFERROR(100/'Skjema total MA'!I75*K75,0)</f>
        <v>0</v>
      </c>
      <c r="O75" s="145"/>
    </row>
    <row r="76" spans="1:15" x14ac:dyDescent="0.2">
      <c r="A76" s="19" t="s">
        <v>9</v>
      </c>
      <c r="B76" s="361">
        <v>0</v>
      </c>
      <c r="C76" s="373">
        <v>0</v>
      </c>
      <c r="D76" s="358">
        <f t="shared" si="9"/>
        <v>0</v>
      </c>
      <c r="E76" s="356">
        <f>IFERROR(100/'Skjema total MA'!C76*C76,0)</f>
        <v>0</v>
      </c>
      <c r="F76" s="361">
        <v>0</v>
      </c>
      <c r="G76" s="373">
        <v>0</v>
      </c>
      <c r="H76" s="358">
        <f t="shared" si="10"/>
        <v>0</v>
      </c>
      <c r="I76" s="356">
        <f>IFERROR(100/'Skjema total MA'!F76*G76,0)</f>
        <v>0</v>
      </c>
      <c r="J76" s="350">
        <f t="shared" si="13"/>
        <v>0</v>
      </c>
      <c r="K76" s="349">
        <f t="shared" si="13"/>
        <v>0</v>
      </c>
      <c r="L76" s="358">
        <f t="shared" si="12"/>
        <v>0</v>
      </c>
      <c r="M76" s="356">
        <f>IFERROR(100/'Skjema total MA'!I76*K76,0)</f>
        <v>0</v>
      </c>
      <c r="O76" s="145"/>
    </row>
    <row r="77" spans="1:15" x14ac:dyDescent="0.2">
      <c r="A77" s="19" t="s">
        <v>10</v>
      </c>
      <c r="B77" s="374">
        <v>0</v>
      </c>
      <c r="C77" s="375">
        <v>0</v>
      </c>
      <c r="D77" s="358">
        <f t="shared" si="9"/>
        <v>0</v>
      </c>
      <c r="E77" s="356">
        <f>IFERROR(100/'Skjema total MA'!C77*C77,0)</f>
        <v>0</v>
      </c>
      <c r="F77" s="374">
        <v>0</v>
      </c>
      <c r="G77" s="375">
        <v>0</v>
      </c>
      <c r="H77" s="358">
        <f t="shared" si="10"/>
        <v>0</v>
      </c>
      <c r="I77" s="356">
        <f>IFERROR(100/'Skjema total MA'!F77*G77,0)</f>
        <v>0</v>
      </c>
      <c r="J77" s="350">
        <f t="shared" si="13"/>
        <v>0</v>
      </c>
      <c r="K77" s="349">
        <f t="shared" si="13"/>
        <v>0</v>
      </c>
      <c r="L77" s="358">
        <f t="shared" si="12"/>
        <v>0</v>
      </c>
      <c r="M77" s="356">
        <f>IFERROR(100/'Skjema total MA'!I77*K77,0)</f>
        <v>0</v>
      </c>
      <c r="O77" s="145"/>
    </row>
    <row r="78" spans="1:15" ht="15.75" x14ac:dyDescent="0.2">
      <c r="A78" s="652" t="s">
        <v>411</v>
      </c>
      <c r="B78" s="359"/>
      <c r="C78" s="359"/>
      <c r="D78" s="358"/>
      <c r="E78" s="382"/>
      <c r="F78" s="359"/>
      <c r="G78" s="359"/>
      <c r="H78" s="358"/>
      <c r="I78" s="356"/>
      <c r="J78" s="359"/>
      <c r="K78" s="359"/>
      <c r="L78" s="358"/>
      <c r="M78" s="356"/>
      <c r="O78" s="145"/>
    </row>
    <row r="79" spans="1:15" x14ac:dyDescent="0.2">
      <c r="A79" s="652" t="s">
        <v>12</v>
      </c>
      <c r="B79" s="378"/>
      <c r="C79" s="379"/>
      <c r="D79" s="358"/>
      <c r="E79" s="382"/>
      <c r="F79" s="359"/>
      <c r="G79" s="359"/>
      <c r="H79" s="358"/>
      <c r="I79" s="356"/>
      <c r="J79" s="359"/>
      <c r="K79" s="359"/>
      <c r="L79" s="358"/>
      <c r="M79" s="356"/>
      <c r="O79" s="145"/>
    </row>
    <row r="80" spans="1:15" x14ac:dyDescent="0.2">
      <c r="A80" s="652" t="s">
        <v>13</v>
      </c>
      <c r="B80" s="378"/>
      <c r="C80" s="379"/>
      <c r="D80" s="358"/>
      <c r="E80" s="382"/>
      <c r="F80" s="359"/>
      <c r="G80" s="359"/>
      <c r="H80" s="358"/>
      <c r="I80" s="356"/>
      <c r="J80" s="359"/>
      <c r="K80" s="359"/>
      <c r="L80" s="358"/>
      <c r="M80" s="356"/>
      <c r="O80" s="145"/>
    </row>
    <row r="81" spans="1:15" ht="15.75" x14ac:dyDescent="0.2">
      <c r="A81" s="652" t="s">
        <v>412</v>
      </c>
      <c r="B81" s="359"/>
      <c r="C81" s="359"/>
      <c r="D81" s="358"/>
      <c r="E81" s="382"/>
      <c r="F81" s="359"/>
      <c r="G81" s="359"/>
      <c r="H81" s="358"/>
      <c r="I81" s="356"/>
      <c r="J81" s="359"/>
      <c r="K81" s="359"/>
      <c r="L81" s="358"/>
      <c r="M81" s="356"/>
      <c r="O81" s="145"/>
    </row>
    <row r="82" spans="1:15" x14ac:dyDescent="0.2">
      <c r="A82" s="652" t="s">
        <v>12</v>
      </c>
      <c r="B82" s="378"/>
      <c r="C82" s="379"/>
      <c r="D82" s="358"/>
      <c r="E82" s="382"/>
      <c r="F82" s="359"/>
      <c r="G82" s="359"/>
      <c r="H82" s="358"/>
      <c r="I82" s="356"/>
      <c r="J82" s="359"/>
      <c r="K82" s="359"/>
      <c r="L82" s="358"/>
      <c r="M82" s="356"/>
      <c r="O82" s="145"/>
    </row>
    <row r="83" spans="1:15" x14ac:dyDescent="0.2">
      <c r="A83" s="652" t="s">
        <v>13</v>
      </c>
      <c r="B83" s="378"/>
      <c r="C83" s="379"/>
      <c r="D83" s="358"/>
      <c r="E83" s="382"/>
      <c r="F83" s="359"/>
      <c r="G83" s="359"/>
      <c r="H83" s="358"/>
      <c r="I83" s="356"/>
      <c r="J83" s="359"/>
      <c r="K83" s="359"/>
      <c r="L83" s="358"/>
      <c r="M83" s="356"/>
      <c r="O83" s="145"/>
    </row>
    <row r="84" spans="1:15" ht="15.75" x14ac:dyDescent="0.2">
      <c r="A84" s="19" t="s">
        <v>397</v>
      </c>
      <c r="B84" s="361">
        <v>0</v>
      </c>
      <c r="C84" s="373">
        <v>0</v>
      </c>
      <c r="D84" s="358">
        <f t="shared" si="9"/>
        <v>0</v>
      </c>
      <c r="E84" s="356">
        <f>IFERROR(100/'Skjema total MA'!C84*C84,0)</f>
        <v>0</v>
      </c>
      <c r="F84" s="361">
        <v>0</v>
      </c>
      <c r="G84" s="373">
        <v>0</v>
      </c>
      <c r="H84" s="358">
        <f t="shared" si="10"/>
        <v>0</v>
      </c>
      <c r="I84" s="356">
        <f>IFERROR(100/'Skjema total MA'!F84*G84,0)</f>
        <v>0</v>
      </c>
      <c r="J84" s="350">
        <f t="shared" ref="J84:K87" si="14">SUM(B84,F84)</f>
        <v>0</v>
      </c>
      <c r="K84" s="349">
        <f t="shared" si="14"/>
        <v>0</v>
      </c>
      <c r="L84" s="358">
        <f t="shared" si="12"/>
        <v>0</v>
      </c>
      <c r="M84" s="356">
        <f>IFERROR(100/'Skjema total MA'!I84*K84,0)</f>
        <v>0</v>
      </c>
      <c r="O84" s="145"/>
    </row>
    <row r="85" spans="1:15" ht="15.75" x14ac:dyDescent="0.2">
      <c r="A85" s="13" t="s">
        <v>398</v>
      </c>
      <c r="B85" s="372">
        <v>0</v>
      </c>
      <c r="C85" s="372">
        <v>0</v>
      </c>
      <c r="D85" s="358">
        <f t="shared" si="9"/>
        <v>0</v>
      </c>
      <c r="E85" s="356">
        <f>IFERROR(100/'Skjema total MA'!C85*C85,0)</f>
        <v>0</v>
      </c>
      <c r="F85" s="372">
        <v>0</v>
      </c>
      <c r="G85" s="372">
        <v>0</v>
      </c>
      <c r="H85" s="358">
        <f t="shared" si="10"/>
        <v>0</v>
      </c>
      <c r="I85" s="356">
        <f>IFERROR(100/'Skjema total MA'!F85*G85,0)</f>
        <v>0</v>
      </c>
      <c r="J85" s="352">
        <f t="shared" si="14"/>
        <v>0</v>
      </c>
      <c r="K85" s="351">
        <f t="shared" si="14"/>
        <v>0</v>
      </c>
      <c r="L85" s="358">
        <f t="shared" si="12"/>
        <v>0</v>
      </c>
      <c r="M85" s="356">
        <f>IFERROR(100/'Skjema total MA'!I85*K85,0)</f>
        <v>0</v>
      </c>
      <c r="O85" s="145"/>
    </row>
    <row r="86" spans="1:15" x14ac:dyDescent="0.2">
      <c r="A86" s="19" t="s">
        <v>9</v>
      </c>
      <c r="B86" s="361">
        <v>0</v>
      </c>
      <c r="C86" s="373">
        <v>0</v>
      </c>
      <c r="D86" s="358">
        <f t="shared" si="9"/>
        <v>0</v>
      </c>
      <c r="E86" s="356">
        <f>IFERROR(100/'Skjema total MA'!C86*C86,0)</f>
        <v>0</v>
      </c>
      <c r="F86" s="361">
        <v>0</v>
      </c>
      <c r="G86" s="373">
        <v>0</v>
      </c>
      <c r="H86" s="358">
        <f t="shared" si="10"/>
        <v>0</v>
      </c>
      <c r="I86" s="356">
        <f>IFERROR(100/'Skjema total MA'!F86*G86,0)</f>
        <v>0</v>
      </c>
      <c r="J86" s="350">
        <f t="shared" si="14"/>
        <v>0</v>
      </c>
      <c r="K86" s="349">
        <f t="shared" si="14"/>
        <v>0</v>
      </c>
      <c r="L86" s="358">
        <f t="shared" si="12"/>
        <v>0</v>
      </c>
      <c r="M86" s="356">
        <f>IFERROR(100/'Skjema total MA'!I86*K86,0)</f>
        <v>0</v>
      </c>
      <c r="O86" s="145"/>
    </row>
    <row r="87" spans="1:15" x14ac:dyDescent="0.2">
      <c r="A87" s="19" t="s">
        <v>10</v>
      </c>
      <c r="B87" s="361">
        <v>0</v>
      </c>
      <c r="C87" s="373">
        <v>0</v>
      </c>
      <c r="D87" s="358">
        <f t="shared" si="9"/>
        <v>0</v>
      </c>
      <c r="E87" s="356">
        <f>IFERROR(100/'Skjema total MA'!C87*C87,0)</f>
        <v>0</v>
      </c>
      <c r="F87" s="361">
        <v>0</v>
      </c>
      <c r="G87" s="373">
        <v>0</v>
      </c>
      <c r="H87" s="358">
        <f t="shared" si="10"/>
        <v>0</v>
      </c>
      <c r="I87" s="356">
        <f>IFERROR(100/'Skjema total MA'!F87*G87,0)</f>
        <v>0</v>
      </c>
      <c r="J87" s="350">
        <f t="shared" si="14"/>
        <v>0</v>
      </c>
      <c r="K87" s="349">
        <f t="shared" si="14"/>
        <v>0</v>
      </c>
      <c r="L87" s="358">
        <f t="shared" si="12"/>
        <v>0</v>
      </c>
      <c r="M87" s="356">
        <f>IFERROR(100/'Skjema total MA'!I87*K87,0)</f>
        <v>0</v>
      </c>
      <c r="O87" s="145"/>
    </row>
    <row r="88" spans="1:15" ht="15.75" x14ac:dyDescent="0.2">
      <c r="A88" s="652" t="s">
        <v>411</v>
      </c>
      <c r="B88" s="359"/>
      <c r="C88" s="359"/>
      <c r="D88" s="358"/>
      <c r="E88" s="382"/>
      <c r="F88" s="359"/>
      <c r="G88" s="359"/>
      <c r="H88" s="358"/>
      <c r="I88" s="356"/>
      <c r="J88" s="359"/>
      <c r="K88" s="359"/>
      <c r="L88" s="358"/>
      <c r="M88" s="356"/>
      <c r="O88" s="145"/>
    </row>
    <row r="89" spans="1:15" x14ac:dyDescent="0.2">
      <c r="A89" s="652" t="s">
        <v>12</v>
      </c>
      <c r="B89" s="378"/>
      <c r="C89" s="379"/>
      <c r="D89" s="358"/>
      <c r="E89" s="382"/>
      <c r="F89" s="359"/>
      <c r="G89" s="359"/>
      <c r="H89" s="358"/>
      <c r="I89" s="356"/>
      <c r="J89" s="359"/>
      <c r="K89" s="359"/>
      <c r="L89" s="358"/>
      <c r="M89" s="356"/>
      <c r="O89" s="145"/>
    </row>
    <row r="90" spans="1:15" x14ac:dyDescent="0.2">
      <c r="A90" s="652" t="s">
        <v>13</v>
      </c>
      <c r="B90" s="378"/>
      <c r="C90" s="379"/>
      <c r="D90" s="358"/>
      <c r="E90" s="382"/>
      <c r="F90" s="359"/>
      <c r="G90" s="359"/>
      <c r="H90" s="358"/>
      <c r="I90" s="356"/>
      <c r="J90" s="359"/>
      <c r="K90" s="359"/>
      <c r="L90" s="358"/>
      <c r="M90" s="356"/>
      <c r="O90" s="145"/>
    </row>
    <row r="91" spans="1:15" ht="15.75" x14ac:dyDescent="0.2">
      <c r="A91" s="652" t="s">
        <v>412</v>
      </c>
      <c r="B91" s="359"/>
      <c r="C91" s="359"/>
      <c r="D91" s="358"/>
      <c r="E91" s="382"/>
      <c r="F91" s="359"/>
      <c r="G91" s="359"/>
      <c r="H91" s="358"/>
      <c r="I91" s="356"/>
      <c r="J91" s="359"/>
      <c r="K91" s="359"/>
      <c r="L91" s="358"/>
      <c r="M91" s="356"/>
      <c r="O91" s="145"/>
    </row>
    <row r="92" spans="1:15" x14ac:dyDescent="0.2">
      <c r="A92" s="652" t="s">
        <v>12</v>
      </c>
      <c r="B92" s="378"/>
      <c r="C92" s="379"/>
      <c r="D92" s="358"/>
      <c r="E92" s="382"/>
      <c r="F92" s="359"/>
      <c r="G92" s="359"/>
      <c r="H92" s="358"/>
      <c r="I92" s="356"/>
      <c r="J92" s="359"/>
      <c r="K92" s="359"/>
      <c r="L92" s="358"/>
      <c r="M92" s="356"/>
      <c r="O92" s="145"/>
    </row>
    <row r="93" spans="1:15" x14ac:dyDescent="0.2">
      <c r="A93" s="652" t="s">
        <v>13</v>
      </c>
      <c r="B93" s="378"/>
      <c r="C93" s="379"/>
      <c r="D93" s="358"/>
      <c r="E93" s="382"/>
      <c r="F93" s="359"/>
      <c r="G93" s="359"/>
      <c r="H93" s="358"/>
      <c r="I93" s="356"/>
      <c r="J93" s="359"/>
      <c r="K93" s="359"/>
      <c r="L93" s="358"/>
      <c r="M93" s="356"/>
      <c r="O93" s="145"/>
    </row>
    <row r="94" spans="1:15" x14ac:dyDescent="0.2">
      <c r="A94" s="19" t="s">
        <v>370</v>
      </c>
      <c r="B94" s="361">
        <v>0</v>
      </c>
      <c r="C94" s="373">
        <v>0</v>
      </c>
      <c r="D94" s="358">
        <f t="shared" si="9"/>
        <v>0</v>
      </c>
      <c r="E94" s="356">
        <f>IFERROR(100/'Skjema total MA'!C94*C94,0)</f>
        <v>0</v>
      </c>
      <c r="F94" s="361">
        <v>0</v>
      </c>
      <c r="G94" s="373">
        <v>0</v>
      </c>
      <c r="H94" s="358">
        <f t="shared" si="10"/>
        <v>0</v>
      </c>
      <c r="I94" s="356">
        <f>IFERROR(100/'Skjema total MA'!F94*G94,0)</f>
        <v>0</v>
      </c>
      <c r="J94" s="350">
        <f t="shared" ref="J94:K98" si="15">SUM(B94,F94)</f>
        <v>0</v>
      </c>
      <c r="K94" s="349">
        <f t="shared" si="15"/>
        <v>0</v>
      </c>
      <c r="L94" s="358">
        <f t="shared" si="12"/>
        <v>0</v>
      </c>
      <c r="M94" s="356">
        <f>IFERROR(100/'Skjema total MA'!I94*K94,0)</f>
        <v>0</v>
      </c>
      <c r="O94" s="145"/>
    </row>
    <row r="95" spans="1:15" x14ac:dyDescent="0.2">
      <c r="A95" s="19" t="s">
        <v>369</v>
      </c>
      <c r="B95" s="361">
        <v>0</v>
      </c>
      <c r="C95" s="373">
        <v>0</v>
      </c>
      <c r="D95" s="358">
        <f>IF(AND(_xlfn.NUMBERVALUE(B95)=0,_xlfn.NUMBERVALUE(C95)=0),,IF(B95=0, "    ---- ", IF(ABS(ROUND(100/B95*C95-100,1))&lt;999,IF(ROUND(100/B95*C95-100,1)=0,"    ---- ",ROUND(100/B95*C95-100,1)),IF(ROUND(100/B95*C95-100,1)&gt;999,999,-999))))</f>
        <v>0</v>
      </c>
      <c r="E95" s="356">
        <f>IFERROR(100/'Skjema total MA'!C96*C95,0)</f>
        <v>0</v>
      </c>
      <c r="F95" s="361">
        <v>0</v>
      </c>
      <c r="G95" s="373">
        <v>0</v>
      </c>
      <c r="H95" s="358">
        <f>IF(AND(_xlfn.NUMBERVALUE(F95)=0,_xlfn.NUMBERVALUE(G95)=0),,IF(F95=0, "    ---- ", IF(ABS(ROUND(100/F95*G95-100,1))&lt;999,IF(ROUND(100/F95*G95-100,1)=0,"    ---- ",ROUND(100/F95*G95-100,1)),IF(ROUND(100/F95*G95-100,1)&gt;999,999,-999))))</f>
        <v>0</v>
      </c>
      <c r="I95" s="356">
        <f>IFERROR(100/'Skjema total MA'!F96*G95,0)</f>
        <v>0</v>
      </c>
      <c r="J95" s="350">
        <f t="shared" si="15"/>
        <v>0</v>
      </c>
      <c r="K95" s="349">
        <f t="shared" si="15"/>
        <v>0</v>
      </c>
      <c r="L95" s="358">
        <f>IF(AND(_xlfn.NUMBERVALUE(J95)=0,_xlfn.NUMBERVALUE(K95)=0),,IF(J95=0, "    ---- ", IF(ABS(ROUND(100/J95*K95-100,1))&lt;999,IF(ROUND(100/J95*K95-100,1)=0,"    ---- ",ROUND(100/J95*K95-100,1)),IF(ROUND(100/J95*K95-100,1)&gt;999,999,-999))))</f>
        <v>0</v>
      </c>
      <c r="M95" s="356">
        <f>IFERROR(100/'Skjema total MA'!I96*K95,0)</f>
        <v>0</v>
      </c>
      <c r="O95" s="145"/>
    </row>
    <row r="96" spans="1:15" ht="15.75" x14ac:dyDescent="0.2">
      <c r="A96" s="19" t="s">
        <v>413</v>
      </c>
      <c r="B96" s="361">
        <v>0</v>
      </c>
      <c r="C96" s="361">
        <v>0</v>
      </c>
      <c r="D96" s="358">
        <f t="shared" si="9"/>
        <v>0</v>
      </c>
      <c r="E96" s="356">
        <f>IFERROR(100/'Skjema total MA'!C96*C96,0)</f>
        <v>0</v>
      </c>
      <c r="F96" s="374">
        <v>0</v>
      </c>
      <c r="G96" s="374">
        <v>0</v>
      </c>
      <c r="H96" s="358">
        <f t="shared" si="10"/>
        <v>0</v>
      </c>
      <c r="I96" s="356">
        <f>IFERROR(100/'Skjema total MA'!F96*G96,0)</f>
        <v>0</v>
      </c>
      <c r="J96" s="350">
        <f t="shared" si="15"/>
        <v>0</v>
      </c>
      <c r="K96" s="349">
        <f t="shared" si="15"/>
        <v>0</v>
      </c>
      <c r="L96" s="358">
        <f t="shared" si="12"/>
        <v>0</v>
      </c>
      <c r="M96" s="356">
        <f>IFERROR(100/'Skjema total MA'!I96*K96,0)</f>
        <v>0</v>
      </c>
      <c r="O96" s="145"/>
    </row>
    <row r="97" spans="1:15" x14ac:dyDescent="0.2">
      <c r="A97" s="19" t="s">
        <v>9</v>
      </c>
      <c r="B97" s="374">
        <v>0</v>
      </c>
      <c r="C97" s="375">
        <v>0</v>
      </c>
      <c r="D97" s="358">
        <f t="shared" si="9"/>
        <v>0</v>
      </c>
      <c r="E97" s="356">
        <f>IFERROR(100/'Skjema total MA'!C97*C97,0)</f>
        <v>0</v>
      </c>
      <c r="F97" s="361">
        <v>0</v>
      </c>
      <c r="G97" s="373">
        <v>0</v>
      </c>
      <c r="H97" s="358">
        <f t="shared" si="10"/>
        <v>0</v>
      </c>
      <c r="I97" s="356">
        <f>IFERROR(100/'Skjema total MA'!F97*G97,0)</f>
        <v>0</v>
      </c>
      <c r="J97" s="350">
        <f t="shared" si="15"/>
        <v>0</v>
      </c>
      <c r="K97" s="349">
        <f t="shared" si="15"/>
        <v>0</v>
      </c>
      <c r="L97" s="358">
        <f t="shared" si="12"/>
        <v>0</v>
      </c>
      <c r="M97" s="356">
        <f>IFERROR(100/'Skjema total MA'!I97*K97,0)</f>
        <v>0</v>
      </c>
      <c r="O97" s="145"/>
    </row>
    <row r="98" spans="1:15" x14ac:dyDescent="0.2">
      <c r="A98" s="19" t="s">
        <v>10</v>
      </c>
      <c r="B98" s="374">
        <v>0</v>
      </c>
      <c r="C98" s="375">
        <v>0</v>
      </c>
      <c r="D98" s="358">
        <f t="shared" si="9"/>
        <v>0</v>
      </c>
      <c r="E98" s="356">
        <f>IFERROR(100/'Skjema total MA'!C98*C98,0)</f>
        <v>0</v>
      </c>
      <c r="F98" s="361">
        <v>0</v>
      </c>
      <c r="G98" s="361">
        <v>0</v>
      </c>
      <c r="H98" s="358">
        <f t="shared" si="10"/>
        <v>0</v>
      </c>
      <c r="I98" s="356">
        <f>IFERROR(100/'Skjema total MA'!F98*G98,0)</f>
        <v>0</v>
      </c>
      <c r="J98" s="350">
        <f t="shared" si="15"/>
        <v>0</v>
      </c>
      <c r="K98" s="349">
        <f t="shared" si="15"/>
        <v>0</v>
      </c>
      <c r="L98" s="358">
        <f t="shared" si="12"/>
        <v>0</v>
      </c>
      <c r="M98" s="356">
        <f>IFERROR(100/'Skjema total MA'!I98*K98,0)</f>
        <v>0</v>
      </c>
      <c r="O98" s="145"/>
    </row>
    <row r="99" spans="1:15" ht="15.75" x14ac:dyDescent="0.2">
      <c r="A99" s="652" t="s">
        <v>411</v>
      </c>
      <c r="B99" s="359"/>
      <c r="C99" s="359"/>
      <c r="D99" s="358"/>
      <c r="E99" s="382"/>
      <c r="F99" s="359"/>
      <c r="G99" s="359"/>
      <c r="H99" s="358"/>
      <c r="I99" s="356"/>
      <c r="J99" s="359"/>
      <c r="K99" s="359"/>
      <c r="L99" s="358"/>
      <c r="M99" s="356"/>
      <c r="O99" s="145"/>
    </row>
    <row r="100" spans="1:15" x14ac:dyDescent="0.2">
      <c r="A100" s="652" t="s">
        <v>12</v>
      </c>
      <c r="B100" s="378"/>
      <c r="C100" s="379"/>
      <c r="D100" s="358"/>
      <c r="E100" s="382"/>
      <c r="F100" s="359"/>
      <c r="G100" s="359"/>
      <c r="H100" s="358"/>
      <c r="I100" s="356"/>
      <c r="J100" s="359"/>
      <c r="K100" s="359"/>
      <c r="L100" s="358"/>
      <c r="M100" s="356"/>
      <c r="O100" s="145"/>
    </row>
    <row r="101" spans="1:15" x14ac:dyDescent="0.2">
      <c r="A101" s="652" t="s">
        <v>13</v>
      </c>
      <c r="B101" s="378"/>
      <c r="C101" s="379"/>
      <c r="D101" s="358"/>
      <c r="E101" s="382"/>
      <c r="F101" s="359"/>
      <c r="G101" s="359"/>
      <c r="H101" s="358"/>
      <c r="I101" s="356"/>
      <c r="J101" s="359"/>
      <c r="K101" s="359"/>
      <c r="L101" s="358"/>
      <c r="M101" s="356"/>
      <c r="O101" s="145"/>
    </row>
    <row r="102" spans="1:15" ht="15.75" x14ac:dyDescent="0.2">
      <c r="A102" s="652" t="s">
        <v>412</v>
      </c>
      <c r="B102" s="359"/>
      <c r="C102" s="359"/>
      <c r="D102" s="358"/>
      <c r="E102" s="382"/>
      <c r="F102" s="359"/>
      <c r="G102" s="359"/>
      <c r="H102" s="358"/>
      <c r="I102" s="356"/>
      <c r="J102" s="359"/>
      <c r="K102" s="359"/>
      <c r="L102" s="358"/>
      <c r="M102" s="356"/>
      <c r="O102" s="145"/>
    </row>
    <row r="103" spans="1:15" x14ac:dyDescent="0.2">
      <c r="A103" s="652" t="s">
        <v>12</v>
      </c>
      <c r="B103" s="378"/>
      <c r="C103" s="379"/>
      <c r="D103" s="358"/>
      <c r="E103" s="382"/>
      <c r="F103" s="359"/>
      <c r="G103" s="359"/>
      <c r="H103" s="358"/>
      <c r="I103" s="356"/>
      <c r="J103" s="359"/>
      <c r="K103" s="359"/>
      <c r="L103" s="358"/>
      <c r="M103" s="356"/>
      <c r="O103" s="145"/>
    </row>
    <row r="104" spans="1:15" x14ac:dyDescent="0.2">
      <c r="A104" s="652" t="s">
        <v>13</v>
      </c>
      <c r="B104" s="378"/>
      <c r="C104" s="379"/>
      <c r="D104" s="358"/>
      <c r="E104" s="382"/>
      <c r="F104" s="359"/>
      <c r="G104" s="359"/>
      <c r="H104" s="358"/>
      <c r="I104" s="356"/>
      <c r="J104" s="359"/>
      <c r="K104" s="359"/>
      <c r="L104" s="358"/>
      <c r="M104" s="356"/>
      <c r="O104" s="145"/>
    </row>
    <row r="105" spans="1:15" ht="15.75" x14ac:dyDescent="0.2">
      <c r="A105" s="19" t="s">
        <v>397</v>
      </c>
      <c r="B105" s="361">
        <v>0</v>
      </c>
      <c r="C105" s="373">
        <v>0</v>
      </c>
      <c r="D105" s="358">
        <f t="shared" si="9"/>
        <v>0</v>
      </c>
      <c r="E105" s="356">
        <f>IFERROR(100/'Skjema total MA'!C105*C105,0)</f>
        <v>0</v>
      </c>
      <c r="F105" s="361">
        <v>0</v>
      </c>
      <c r="G105" s="373">
        <v>0</v>
      </c>
      <c r="H105" s="358">
        <f t="shared" si="10"/>
        <v>0</v>
      </c>
      <c r="I105" s="356">
        <f>IFERROR(100/'Skjema total MA'!F105*G105,0)</f>
        <v>0</v>
      </c>
      <c r="J105" s="350">
        <f t="shared" ref="J105:K109" si="16">SUM(B105,F105)</f>
        <v>0</v>
      </c>
      <c r="K105" s="349">
        <f t="shared" si="16"/>
        <v>0</v>
      </c>
      <c r="L105" s="358">
        <f t="shared" si="12"/>
        <v>0</v>
      </c>
      <c r="M105" s="356">
        <f>IFERROR(100/'Skjema total MA'!I105*K105,0)</f>
        <v>0</v>
      </c>
      <c r="O105" s="145"/>
    </row>
    <row r="106" spans="1:15" ht="15.75" x14ac:dyDescent="0.2">
      <c r="A106" s="19" t="s">
        <v>416</v>
      </c>
      <c r="B106" s="361">
        <v>0</v>
      </c>
      <c r="C106" s="361">
        <v>0</v>
      </c>
      <c r="D106" s="358">
        <f t="shared" si="9"/>
        <v>0</v>
      </c>
      <c r="E106" s="356">
        <f>IFERROR(100/'Skjema total MA'!C106*C106,0)</f>
        <v>0</v>
      </c>
      <c r="F106" s="361">
        <v>0</v>
      </c>
      <c r="G106" s="361">
        <v>0</v>
      </c>
      <c r="H106" s="358">
        <f t="shared" si="10"/>
        <v>0</v>
      </c>
      <c r="I106" s="356">
        <f>IFERROR(100/'Skjema total MA'!F106*G106,0)</f>
        <v>0</v>
      </c>
      <c r="J106" s="350">
        <f t="shared" si="16"/>
        <v>0</v>
      </c>
      <c r="K106" s="349">
        <f t="shared" si="16"/>
        <v>0</v>
      </c>
      <c r="L106" s="358">
        <f t="shared" si="12"/>
        <v>0</v>
      </c>
      <c r="M106" s="356">
        <f>IFERROR(100/'Skjema total MA'!I106*K106,0)</f>
        <v>0</v>
      </c>
      <c r="O106" s="145"/>
    </row>
    <row r="107" spans="1:15" ht="15.75" x14ac:dyDescent="0.2">
      <c r="A107" s="19" t="s">
        <v>414</v>
      </c>
      <c r="B107" s="361">
        <v>0</v>
      </c>
      <c r="C107" s="361">
        <v>0</v>
      </c>
      <c r="D107" s="358">
        <f t="shared" si="9"/>
        <v>0</v>
      </c>
      <c r="E107" s="356">
        <f>IFERROR(100/'Skjema total MA'!C107*C107,0)</f>
        <v>0</v>
      </c>
      <c r="F107" s="361">
        <v>0</v>
      </c>
      <c r="G107" s="361">
        <v>0</v>
      </c>
      <c r="H107" s="358">
        <f t="shared" si="10"/>
        <v>0</v>
      </c>
      <c r="I107" s="356">
        <f>IFERROR(100/'Skjema total MA'!F107*G107,0)</f>
        <v>0</v>
      </c>
      <c r="J107" s="350">
        <f t="shared" si="16"/>
        <v>0</v>
      </c>
      <c r="K107" s="349">
        <f t="shared" si="16"/>
        <v>0</v>
      </c>
      <c r="L107" s="358">
        <f t="shared" si="12"/>
        <v>0</v>
      </c>
      <c r="M107" s="356">
        <f>IFERROR(100/'Skjema total MA'!I107*K107,0)</f>
        <v>0</v>
      </c>
      <c r="O107" s="145"/>
    </row>
    <row r="108" spans="1:15" ht="15.75" x14ac:dyDescent="0.2">
      <c r="A108" s="19" t="s">
        <v>415</v>
      </c>
      <c r="B108" s="361">
        <v>0</v>
      </c>
      <c r="C108" s="361">
        <v>0</v>
      </c>
      <c r="D108" s="358">
        <f t="shared" si="9"/>
        <v>0</v>
      </c>
      <c r="E108" s="356">
        <f>IFERROR(100/'Skjema total MA'!C108*C108,0)</f>
        <v>0</v>
      </c>
      <c r="F108" s="361">
        <v>0</v>
      </c>
      <c r="G108" s="361">
        <v>0</v>
      </c>
      <c r="H108" s="358">
        <f t="shared" si="10"/>
        <v>0</v>
      </c>
      <c r="I108" s="356">
        <f>IFERROR(100/'Skjema total MA'!F108*G108,0)</f>
        <v>0</v>
      </c>
      <c r="J108" s="350">
        <f t="shared" si="16"/>
        <v>0</v>
      </c>
      <c r="K108" s="349">
        <f t="shared" si="16"/>
        <v>0</v>
      </c>
      <c r="L108" s="358">
        <f t="shared" si="12"/>
        <v>0</v>
      </c>
      <c r="M108" s="356">
        <f>IFERROR(100/'Skjema total MA'!I108*K108,0)</f>
        <v>0</v>
      </c>
      <c r="O108" s="145"/>
    </row>
    <row r="109" spans="1:15" ht="15.75" x14ac:dyDescent="0.2">
      <c r="A109" s="13" t="s">
        <v>399</v>
      </c>
      <c r="B109" s="357">
        <v>0</v>
      </c>
      <c r="C109" s="380">
        <v>0</v>
      </c>
      <c r="D109" s="358">
        <f t="shared" si="9"/>
        <v>0</v>
      </c>
      <c r="E109" s="356">
        <f>IFERROR(100/'Skjema total MA'!C109*C109,0)</f>
        <v>0</v>
      </c>
      <c r="F109" s="357">
        <v>0</v>
      </c>
      <c r="G109" s="380">
        <v>0</v>
      </c>
      <c r="H109" s="358">
        <f t="shared" si="10"/>
        <v>0</v>
      </c>
      <c r="I109" s="356">
        <f>IFERROR(100/'Skjema total MA'!F109*G109,0)</f>
        <v>0</v>
      </c>
      <c r="J109" s="352">
        <f t="shared" si="16"/>
        <v>0</v>
      </c>
      <c r="K109" s="351">
        <f t="shared" si="16"/>
        <v>0</v>
      </c>
      <c r="L109" s="358">
        <f t="shared" si="12"/>
        <v>0</v>
      </c>
      <c r="M109" s="356">
        <f>IFERROR(100/'Skjema total MA'!I109*K109,0)</f>
        <v>0</v>
      </c>
      <c r="O109" s="145"/>
    </row>
    <row r="110" spans="1:15" x14ac:dyDescent="0.2">
      <c r="A110" s="19" t="s">
        <v>9</v>
      </c>
      <c r="B110" s="361">
        <v>0</v>
      </c>
      <c r="C110" s="373">
        <v>0</v>
      </c>
      <c r="D110" s="358">
        <f t="shared" ref="D110:D124" si="17">IF(AND(_xlfn.NUMBERVALUE(B110)=0,_xlfn.NUMBERVALUE(C110)=0),,IF(B110=0, "    ---- ", IF(ABS(ROUND(100/B110*C110-100,1))&lt;999,IF(ROUND(100/B110*C110-100,1)=0,"    ---- ",ROUND(100/B110*C110-100,1)),IF(ROUND(100/B110*C110-100,1)&gt;999,999,-999))))</f>
        <v>0</v>
      </c>
      <c r="E110" s="356">
        <f>IFERROR(100/'Skjema total MA'!C110*C110,0)</f>
        <v>0</v>
      </c>
      <c r="F110" s="361">
        <v>0</v>
      </c>
      <c r="G110" s="373">
        <v>0</v>
      </c>
      <c r="H110" s="358">
        <f t="shared" ref="H110:H124" si="18">IF(AND(_xlfn.NUMBERVALUE(F110)=0,_xlfn.NUMBERVALUE(G110)=0),,IF(F110=0, "    ---- ", IF(ABS(ROUND(100/F110*G110-100,1))&lt;999,IF(ROUND(100/F110*G110-100,1)=0,"    ---- ",ROUND(100/F110*G110-100,1)),IF(ROUND(100/F110*G110-100,1)&gt;999,999,-999))))</f>
        <v>0</v>
      </c>
      <c r="I110" s="356">
        <f>IFERROR(100/'Skjema total MA'!F110*G110,0)</f>
        <v>0</v>
      </c>
      <c r="J110" s="350">
        <f t="shared" ref="J110:K124" si="19">SUM(B110,F110)</f>
        <v>0</v>
      </c>
      <c r="K110" s="349">
        <f t="shared" si="19"/>
        <v>0</v>
      </c>
      <c r="L110" s="358">
        <f t="shared" ref="L110:L124" si="20">IF(AND(_xlfn.NUMBERVALUE(J110)=0,_xlfn.NUMBERVALUE(K110)=0),,IF(J110=0, "    ---- ", IF(ABS(ROUND(100/J110*K110-100,1))&lt;999,IF(ROUND(100/J110*K110-100,1)=0,"    ---- ",ROUND(100/J110*K110-100,1)),IF(ROUND(100/J110*K110-100,1)&gt;999,999,-999))))</f>
        <v>0</v>
      </c>
      <c r="M110" s="356">
        <f>IFERROR(100/'Skjema total MA'!I110*K110,0)</f>
        <v>0</v>
      </c>
      <c r="O110" s="145"/>
    </row>
    <row r="111" spans="1:15" x14ac:dyDescent="0.2">
      <c r="A111" s="19" t="s">
        <v>10</v>
      </c>
      <c r="B111" s="361">
        <v>0</v>
      </c>
      <c r="C111" s="373">
        <v>0</v>
      </c>
      <c r="D111" s="358">
        <f t="shared" si="17"/>
        <v>0</v>
      </c>
      <c r="E111" s="356">
        <f>IFERROR(100/'Skjema total MA'!C111*C111,0)</f>
        <v>0</v>
      </c>
      <c r="F111" s="361">
        <v>0</v>
      </c>
      <c r="G111" s="373">
        <v>0</v>
      </c>
      <c r="H111" s="358">
        <f t="shared" si="18"/>
        <v>0</v>
      </c>
      <c r="I111" s="356">
        <f>IFERROR(100/'Skjema total MA'!F111*G111,0)</f>
        <v>0</v>
      </c>
      <c r="J111" s="350">
        <f t="shared" si="19"/>
        <v>0</v>
      </c>
      <c r="K111" s="349">
        <f t="shared" si="19"/>
        <v>0</v>
      </c>
      <c r="L111" s="358">
        <f t="shared" si="20"/>
        <v>0</v>
      </c>
      <c r="M111" s="356">
        <f>IFERROR(100/'Skjema total MA'!I111*K111,0)</f>
        <v>0</v>
      </c>
      <c r="O111" s="145"/>
    </row>
    <row r="112" spans="1:15" x14ac:dyDescent="0.2">
      <c r="A112" s="19" t="s">
        <v>27</v>
      </c>
      <c r="B112" s="361">
        <v>0</v>
      </c>
      <c r="C112" s="373">
        <v>0</v>
      </c>
      <c r="D112" s="358">
        <f t="shared" si="17"/>
        <v>0</v>
      </c>
      <c r="E112" s="356">
        <f>IFERROR(100/'Skjema total MA'!C112*C112,0)</f>
        <v>0</v>
      </c>
      <c r="F112" s="361">
        <v>0</v>
      </c>
      <c r="G112" s="373">
        <v>0</v>
      </c>
      <c r="H112" s="358">
        <f t="shared" si="18"/>
        <v>0</v>
      </c>
      <c r="I112" s="356">
        <f>IFERROR(100/'Skjema total MA'!F112*G112,0)</f>
        <v>0</v>
      </c>
      <c r="J112" s="350">
        <f t="shared" si="19"/>
        <v>0</v>
      </c>
      <c r="K112" s="349">
        <f t="shared" si="19"/>
        <v>0</v>
      </c>
      <c r="L112" s="358">
        <f t="shared" si="20"/>
        <v>0</v>
      </c>
      <c r="M112" s="356">
        <f>IFERROR(100/'Skjema total MA'!I112*K112,0)</f>
        <v>0</v>
      </c>
      <c r="O112" s="145"/>
    </row>
    <row r="113" spans="1:15" x14ac:dyDescent="0.2">
      <c r="A113" s="652" t="s">
        <v>15</v>
      </c>
      <c r="B113" s="359"/>
      <c r="C113" s="359"/>
      <c r="D113" s="358"/>
      <c r="E113" s="382"/>
      <c r="F113" s="359"/>
      <c r="G113" s="359"/>
      <c r="H113" s="358"/>
      <c r="I113" s="356"/>
      <c r="J113" s="359"/>
      <c r="K113" s="359"/>
      <c r="L113" s="358"/>
      <c r="M113" s="356"/>
      <c r="O113" s="145"/>
    </row>
    <row r="114" spans="1:15" ht="15.75" x14ac:dyDescent="0.2">
      <c r="A114" s="19" t="s">
        <v>416</v>
      </c>
      <c r="B114" s="361">
        <v>0</v>
      </c>
      <c r="C114" s="361">
        <v>0</v>
      </c>
      <c r="D114" s="358">
        <f t="shared" si="17"/>
        <v>0</v>
      </c>
      <c r="E114" s="356">
        <f>IFERROR(100/'Skjema total MA'!C114*C114,0)</f>
        <v>0</v>
      </c>
      <c r="F114" s="361">
        <v>0</v>
      </c>
      <c r="G114" s="361">
        <v>0</v>
      </c>
      <c r="H114" s="358">
        <f t="shared" si="18"/>
        <v>0</v>
      </c>
      <c r="I114" s="356">
        <f>IFERROR(100/'Skjema total MA'!F114*G114,0)</f>
        <v>0</v>
      </c>
      <c r="J114" s="350">
        <f t="shared" si="19"/>
        <v>0</v>
      </c>
      <c r="K114" s="349">
        <f t="shared" si="19"/>
        <v>0</v>
      </c>
      <c r="L114" s="358">
        <f t="shared" si="20"/>
        <v>0</v>
      </c>
      <c r="M114" s="356">
        <f>IFERROR(100/'Skjema total MA'!I114*K114,0)</f>
        <v>0</v>
      </c>
      <c r="O114" s="145"/>
    </row>
    <row r="115" spans="1:15" ht="15.75" x14ac:dyDescent="0.2">
      <c r="A115" s="19" t="s">
        <v>414</v>
      </c>
      <c r="B115" s="361">
        <v>0</v>
      </c>
      <c r="C115" s="361">
        <v>0</v>
      </c>
      <c r="D115" s="358">
        <f t="shared" si="17"/>
        <v>0</v>
      </c>
      <c r="E115" s="356">
        <f>IFERROR(100/'Skjema total MA'!C115*C115,0)</f>
        <v>0</v>
      </c>
      <c r="F115" s="361">
        <v>0</v>
      </c>
      <c r="G115" s="361">
        <v>0</v>
      </c>
      <c r="H115" s="358">
        <f t="shared" si="18"/>
        <v>0</v>
      </c>
      <c r="I115" s="356">
        <f>IFERROR(100/'Skjema total MA'!F115*G115,0)</f>
        <v>0</v>
      </c>
      <c r="J115" s="350">
        <f t="shared" si="19"/>
        <v>0</v>
      </c>
      <c r="K115" s="349">
        <f t="shared" si="19"/>
        <v>0</v>
      </c>
      <c r="L115" s="358">
        <f t="shared" si="20"/>
        <v>0</v>
      </c>
      <c r="M115" s="356">
        <f>IFERROR(100/'Skjema total MA'!I115*K115,0)</f>
        <v>0</v>
      </c>
      <c r="O115" s="145"/>
    </row>
    <row r="116" spans="1:15" ht="15.75" x14ac:dyDescent="0.2">
      <c r="A116" s="19" t="s">
        <v>415</v>
      </c>
      <c r="B116" s="361">
        <v>0</v>
      </c>
      <c r="C116" s="361">
        <v>0</v>
      </c>
      <c r="D116" s="358">
        <f t="shared" si="17"/>
        <v>0</v>
      </c>
      <c r="E116" s="356">
        <f>IFERROR(100/'Skjema total MA'!C116*C116,0)</f>
        <v>0</v>
      </c>
      <c r="F116" s="361">
        <v>0</v>
      </c>
      <c r="G116" s="361">
        <v>0</v>
      </c>
      <c r="H116" s="358">
        <f t="shared" si="18"/>
        <v>0</v>
      </c>
      <c r="I116" s="356">
        <f>IFERROR(100/'Skjema total MA'!F116*G116,0)</f>
        <v>0</v>
      </c>
      <c r="J116" s="350">
        <f t="shared" si="19"/>
        <v>0</v>
      </c>
      <c r="K116" s="349">
        <f t="shared" si="19"/>
        <v>0</v>
      </c>
      <c r="L116" s="358">
        <f t="shared" si="20"/>
        <v>0</v>
      </c>
      <c r="M116" s="356">
        <f>IFERROR(100/'Skjema total MA'!I116*K116,0)</f>
        <v>0</v>
      </c>
      <c r="O116" s="145"/>
    </row>
    <row r="117" spans="1:15" ht="15.75" x14ac:dyDescent="0.2">
      <c r="A117" s="13" t="s">
        <v>400</v>
      </c>
      <c r="B117" s="357">
        <v>0</v>
      </c>
      <c r="C117" s="380">
        <v>0</v>
      </c>
      <c r="D117" s="358">
        <f t="shared" si="17"/>
        <v>0</v>
      </c>
      <c r="E117" s="356">
        <f>IFERROR(100/'Skjema total MA'!C117*C117,0)</f>
        <v>0</v>
      </c>
      <c r="F117" s="357">
        <v>0</v>
      </c>
      <c r="G117" s="380">
        <v>0</v>
      </c>
      <c r="H117" s="358">
        <f t="shared" si="18"/>
        <v>0</v>
      </c>
      <c r="I117" s="356">
        <f>IFERROR(100/'Skjema total MA'!F117*G117,0)</f>
        <v>0</v>
      </c>
      <c r="J117" s="352">
        <f t="shared" si="19"/>
        <v>0</v>
      </c>
      <c r="K117" s="351">
        <f t="shared" si="19"/>
        <v>0</v>
      </c>
      <c r="L117" s="358">
        <f t="shared" si="20"/>
        <v>0</v>
      </c>
      <c r="M117" s="356">
        <f>IFERROR(100/'Skjema total MA'!I117*K117,0)</f>
        <v>0</v>
      </c>
      <c r="O117" s="145"/>
    </row>
    <row r="118" spans="1:15" x14ac:dyDescent="0.2">
      <c r="A118" s="19" t="s">
        <v>9</v>
      </c>
      <c r="B118" s="361">
        <v>0</v>
      </c>
      <c r="C118" s="373">
        <v>0</v>
      </c>
      <c r="D118" s="358">
        <f t="shared" si="17"/>
        <v>0</v>
      </c>
      <c r="E118" s="356">
        <f>IFERROR(100/'Skjema total MA'!C118*C118,0)</f>
        <v>0</v>
      </c>
      <c r="F118" s="361">
        <v>0</v>
      </c>
      <c r="G118" s="373">
        <v>0</v>
      </c>
      <c r="H118" s="358">
        <f t="shared" si="18"/>
        <v>0</v>
      </c>
      <c r="I118" s="356">
        <f>IFERROR(100/'Skjema total MA'!F118*G118,0)</f>
        <v>0</v>
      </c>
      <c r="J118" s="350">
        <f t="shared" si="19"/>
        <v>0</v>
      </c>
      <c r="K118" s="349">
        <f t="shared" si="19"/>
        <v>0</v>
      </c>
      <c r="L118" s="358">
        <f t="shared" si="20"/>
        <v>0</v>
      </c>
      <c r="M118" s="356">
        <f>IFERROR(100/'Skjema total MA'!I118*K118,0)</f>
        <v>0</v>
      </c>
      <c r="O118" s="145"/>
    </row>
    <row r="119" spans="1:15" x14ac:dyDescent="0.2">
      <c r="A119" s="19" t="s">
        <v>10</v>
      </c>
      <c r="B119" s="361">
        <v>0</v>
      </c>
      <c r="C119" s="373">
        <v>0</v>
      </c>
      <c r="D119" s="358">
        <f t="shared" si="17"/>
        <v>0</v>
      </c>
      <c r="E119" s="356">
        <f>IFERROR(100/'Skjema total MA'!C119*C119,0)</f>
        <v>0</v>
      </c>
      <c r="F119" s="361">
        <v>0</v>
      </c>
      <c r="G119" s="373">
        <v>0</v>
      </c>
      <c r="H119" s="358">
        <f t="shared" si="18"/>
        <v>0</v>
      </c>
      <c r="I119" s="356">
        <f>IFERROR(100/'Skjema total MA'!F119*G119,0)</f>
        <v>0</v>
      </c>
      <c r="J119" s="350">
        <f t="shared" si="19"/>
        <v>0</v>
      </c>
      <c r="K119" s="349">
        <f t="shared" si="19"/>
        <v>0</v>
      </c>
      <c r="L119" s="358">
        <f t="shared" si="20"/>
        <v>0</v>
      </c>
      <c r="M119" s="356">
        <f>IFERROR(100/'Skjema total MA'!I119*K119,0)</f>
        <v>0</v>
      </c>
      <c r="O119" s="145"/>
    </row>
    <row r="120" spans="1:15" x14ac:dyDescent="0.2">
      <c r="A120" s="19" t="s">
        <v>27</v>
      </c>
      <c r="B120" s="361">
        <v>0</v>
      </c>
      <c r="C120" s="373">
        <v>0</v>
      </c>
      <c r="D120" s="358">
        <f t="shared" si="17"/>
        <v>0</v>
      </c>
      <c r="E120" s="356">
        <f>IFERROR(100/'Skjema total MA'!C120*C120,0)</f>
        <v>0</v>
      </c>
      <c r="F120" s="361">
        <v>0</v>
      </c>
      <c r="G120" s="373">
        <v>0</v>
      </c>
      <c r="H120" s="358">
        <f t="shared" si="18"/>
        <v>0</v>
      </c>
      <c r="I120" s="356">
        <f>IFERROR(100/'Skjema total MA'!F120*G120,0)</f>
        <v>0</v>
      </c>
      <c r="J120" s="350">
        <f t="shared" si="19"/>
        <v>0</v>
      </c>
      <c r="K120" s="349">
        <f t="shared" si="19"/>
        <v>0</v>
      </c>
      <c r="L120" s="358">
        <f t="shared" si="20"/>
        <v>0</v>
      </c>
      <c r="M120" s="356">
        <f>IFERROR(100/'Skjema total MA'!I120*K120,0)</f>
        <v>0</v>
      </c>
      <c r="O120" s="145"/>
    </row>
    <row r="121" spans="1:15" x14ac:dyDescent="0.2">
      <c r="A121" s="652" t="s">
        <v>14</v>
      </c>
      <c r="B121" s="359"/>
      <c r="C121" s="359"/>
      <c r="D121" s="358"/>
      <c r="E121" s="382"/>
      <c r="F121" s="359"/>
      <c r="G121" s="359"/>
      <c r="H121" s="358"/>
      <c r="I121" s="356"/>
      <c r="J121" s="359"/>
      <c r="K121" s="359"/>
      <c r="L121" s="358"/>
      <c r="M121" s="356"/>
      <c r="O121" s="145"/>
    </row>
    <row r="122" spans="1:15" ht="15.75" x14ac:dyDescent="0.2">
      <c r="A122" s="19" t="s">
        <v>416</v>
      </c>
      <c r="B122" s="361">
        <v>0</v>
      </c>
      <c r="C122" s="361">
        <v>0</v>
      </c>
      <c r="D122" s="358">
        <f t="shared" si="17"/>
        <v>0</v>
      </c>
      <c r="E122" s="356">
        <f>IFERROR(100/'Skjema total MA'!C122*C122,0)</f>
        <v>0</v>
      </c>
      <c r="F122" s="361">
        <v>0</v>
      </c>
      <c r="G122" s="361">
        <v>0</v>
      </c>
      <c r="H122" s="358">
        <f t="shared" si="18"/>
        <v>0</v>
      </c>
      <c r="I122" s="356">
        <f>IFERROR(100/'Skjema total MA'!F122*G122,0)</f>
        <v>0</v>
      </c>
      <c r="J122" s="350">
        <f t="shared" si="19"/>
        <v>0</v>
      </c>
      <c r="K122" s="349">
        <f t="shared" si="19"/>
        <v>0</v>
      </c>
      <c r="L122" s="358">
        <f t="shared" si="20"/>
        <v>0</v>
      </c>
      <c r="M122" s="356">
        <f>IFERROR(100/'Skjema total MA'!I122*K122,0)</f>
        <v>0</v>
      </c>
      <c r="O122" s="145"/>
    </row>
    <row r="123" spans="1:15" ht="15.75" x14ac:dyDescent="0.2">
      <c r="A123" s="19" t="s">
        <v>414</v>
      </c>
      <c r="B123" s="361">
        <v>0</v>
      </c>
      <c r="C123" s="361">
        <v>0</v>
      </c>
      <c r="D123" s="358">
        <f t="shared" si="17"/>
        <v>0</v>
      </c>
      <c r="E123" s="356">
        <f>IFERROR(100/'Skjema total MA'!C123*C123,0)</f>
        <v>0</v>
      </c>
      <c r="F123" s="361">
        <v>0</v>
      </c>
      <c r="G123" s="361">
        <v>0</v>
      </c>
      <c r="H123" s="358">
        <f t="shared" si="18"/>
        <v>0</v>
      </c>
      <c r="I123" s="356">
        <f>IFERROR(100/'Skjema total MA'!F123*G123,0)</f>
        <v>0</v>
      </c>
      <c r="J123" s="350">
        <f t="shared" si="19"/>
        <v>0</v>
      </c>
      <c r="K123" s="349">
        <f t="shared" si="19"/>
        <v>0</v>
      </c>
      <c r="L123" s="358">
        <f t="shared" si="20"/>
        <v>0</v>
      </c>
      <c r="M123" s="356">
        <f>IFERROR(100/'Skjema total MA'!I123*K123,0)</f>
        <v>0</v>
      </c>
      <c r="O123" s="145"/>
    </row>
    <row r="124" spans="1:15" ht="15.75" x14ac:dyDescent="0.2">
      <c r="A124" s="10" t="s">
        <v>415</v>
      </c>
      <c r="B124" s="370">
        <v>0</v>
      </c>
      <c r="C124" s="370">
        <v>0</v>
      </c>
      <c r="D124" s="362">
        <f t="shared" si="17"/>
        <v>0</v>
      </c>
      <c r="E124" s="381">
        <f>IFERROR(100/'Skjema total MA'!C124*C124,0)</f>
        <v>0</v>
      </c>
      <c r="F124" s="370">
        <v>0</v>
      </c>
      <c r="G124" s="370">
        <v>0</v>
      </c>
      <c r="H124" s="362">
        <f t="shared" si="18"/>
        <v>0</v>
      </c>
      <c r="I124" s="362">
        <f>IFERROR(100/'Skjema total MA'!F124*G124,0)</f>
        <v>0</v>
      </c>
      <c r="J124" s="371">
        <f t="shared" si="19"/>
        <v>0</v>
      </c>
      <c r="K124" s="370">
        <f t="shared" si="19"/>
        <v>0</v>
      </c>
      <c r="L124" s="362">
        <f t="shared" si="20"/>
        <v>0</v>
      </c>
      <c r="M124" s="362">
        <f>IFERROR(100/'Skjema total MA'!I124*K124,0)</f>
        <v>0</v>
      </c>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343"/>
      <c r="C128" s="343"/>
      <c r="D128" s="343"/>
      <c r="E128" s="344"/>
      <c r="F128" s="343"/>
      <c r="G128" s="343"/>
      <c r="H128" s="343"/>
      <c r="I128" s="344"/>
      <c r="J128" s="343"/>
      <c r="K128" s="343"/>
      <c r="L128" s="343"/>
      <c r="M128" s="344"/>
    </row>
    <row r="129" spans="1:15" s="3" customFormat="1" x14ac:dyDescent="0.2">
      <c r="A129" s="141"/>
      <c r="B129" s="690" t="s">
        <v>0</v>
      </c>
      <c r="C129" s="691"/>
      <c r="D129" s="691"/>
      <c r="E129" s="341"/>
      <c r="F129" s="690" t="s">
        <v>1</v>
      </c>
      <c r="G129" s="691"/>
      <c r="H129" s="691"/>
      <c r="I129" s="342"/>
      <c r="J129" s="690" t="s">
        <v>2</v>
      </c>
      <c r="K129" s="691"/>
      <c r="L129" s="691"/>
      <c r="M129" s="342"/>
      <c r="N129" s="145"/>
      <c r="O129" s="145"/>
    </row>
    <row r="130" spans="1:15" s="3" customFormat="1" x14ac:dyDescent="0.2">
      <c r="A130" s="138"/>
      <c r="B130" s="149" t="s">
        <v>387</v>
      </c>
      <c r="C130" s="149" t="s">
        <v>388</v>
      </c>
      <c r="D130" s="244" t="s">
        <v>3</v>
      </c>
      <c r="E130" s="294" t="s">
        <v>30</v>
      </c>
      <c r="F130" s="149" t="s">
        <v>387</v>
      </c>
      <c r="G130" s="149" t="s">
        <v>388</v>
      </c>
      <c r="H130" s="204" t="s">
        <v>3</v>
      </c>
      <c r="I130" s="294"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351">
        <v>0</v>
      </c>
      <c r="C132" s="352">
        <v>0</v>
      </c>
      <c r="D132" s="355">
        <f>IF(AND(_xlfn.NUMBERVALUE(B132)=0,_xlfn.NUMBERVALUE(C132)=0),,IF(B132=0, "    ---- ", IF(ABS(ROUND(100/B132*C132-100,1))&lt;999,IF(ROUND(100/B132*C132-100,1)=0,"    ---- ",ROUND(100/B132*C132-100,1)),IF(ROUND(100/B132*C132-100,1)&gt;999,999,-999))))</f>
        <v>0</v>
      </c>
      <c r="E132" s="356">
        <f>IFERROR(100/'Skjema total MA'!C132*C132,0)</f>
        <v>0</v>
      </c>
      <c r="F132" s="347">
        <v>0</v>
      </c>
      <c r="G132" s="348">
        <v>0</v>
      </c>
      <c r="H132" s="383">
        <f>IF(AND(_xlfn.NUMBERVALUE(F132)=0,_xlfn.NUMBERVALUE(G132)=0),,IF(F132=0, "    ---- ", IF(ABS(ROUND(100/F132*G132-100,1))&lt;999,IF(ROUND(100/F132*G132-100,1)=0,"    ---- ",ROUND(100/F132*G132-100,1)),IF(ROUND(100/F132*G132-100,1)&gt;999,999,-999))))</f>
        <v>0</v>
      </c>
      <c r="I132" s="356">
        <f>IFERROR(100/'Skjema total MA'!F132*G132,0)</f>
        <v>0</v>
      </c>
      <c r="J132" s="364">
        <f t="shared" ref="J132:K135" si="21">SUM(B132,F132)</f>
        <v>0</v>
      </c>
      <c r="K132" s="364">
        <f t="shared" si="21"/>
        <v>0</v>
      </c>
      <c r="L132" s="355">
        <f>IF(AND(_xlfn.NUMBERVALUE(J132)=0,_xlfn.NUMBERVALUE(K132)=0),,IF(J132=0, "    ---- ", IF(ABS(ROUND(100/J132*K132-100,1))&lt;999,IF(ROUND(100/J132*K132-100,1)=0,"    ---- ",ROUND(100/J132*K132-100,1)),IF(ROUND(100/J132*K132-100,1)&gt;999,999,-999))))</f>
        <v>0</v>
      </c>
      <c r="M132" s="356">
        <f>IFERROR(100/'Skjema total MA'!I132*K132,0)</f>
        <v>0</v>
      </c>
      <c r="N132" s="145"/>
      <c r="O132" s="145"/>
    </row>
    <row r="133" spans="1:15" s="3" customFormat="1" ht="15.75" x14ac:dyDescent="0.2">
      <c r="A133" s="13" t="s">
        <v>418</v>
      </c>
      <c r="B133" s="351">
        <v>0</v>
      </c>
      <c r="C133" s="352">
        <v>0</v>
      </c>
      <c r="D133" s="358">
        <f>IF(AND(_xlfn.NUMBERVALUE(B133)=0,_xlfn.NUMBERVALUE(C133)=0),,IF(B133=0, "    ---- ", IF(ABS(ROUND(100/B133*C133-100,1))&lt;999,IF(ROUND(100/B133*C133-100,1)=0,"    ---- ",ROUND(100/B133*C133-100,1)),IF(ROUND(100/B133*C133-100,1)&gt;999,999,-999))))</f>
        <v>0</v>
      </c>
      <c r="E133" s="356">
        <f>IFERROR(100/'Skjema total MA'!C133*C133,0)</f>
        <v>0</v>
      </c>
      <c r="F133" s="351">
        <v>0</v>
      </c>
      <c r="G133" s="352">
        <v>0</v>
      </c>
      <c r="H133" s="384">
        <f>IF(AND(_xlfn.NUMBERVALUE(F133)=0,_xlfn.NUMBERVALUE(G133)=0),,IF(F133=0, "    ---- ", IF(ABS(ROUND(100/F133*G133-100,1))&lt;999,IF(ROUND(100/F133*G133-100,1)=0,"    ---- ",ROUND(100/F133*G133-100,1)),IF(ROUND(100/F133*G133-100,1)&gt;999,999,-999))))</f>
        <v>0</v>
      </c>
      <c r="I133" s="356">
        <f>IFERROR(100/'Skjema total MA'!F133*G133,0)</f>
        <v>0</v>
      </c>
      <c r="J133" s="357">
        <f t="shared" si="21"/>
        <v>0</v>
      </c>
      <c r="K133" s="357">
        <f t="shared" si="21"/>
        <v>0</v>
      </c>
      <c r="L133" s="358">
        <f>IF(AND(_xlfn.NUMBERVALUE(J133)=0,_xlfn.NUMBERVALUE(K133)=0),,IF(J133=0, "    ---- ", IF(ABS(ROUND(100/J133*K133-100,1))&lt;999,IF(ROUND(100/J133*K133-100,1)=0,"    ---- ",ROUND(100/J133*K133-100,1)),IF(ROUND(100/J133*K133-100,1)&gt;999,999,-999))))</f>
        <v>0</v>
      </c>
      <c r="M133" s="356">
        <f>IFERROR(100/'Skjema total MA'!I133*K133,0)</f>
        <v>0</v>
      </c>
      <c r="N133" s="145"/>
      <c r="O133" s="145"/>
    </row>
    <row r="134" spans="1:15" s="3" customFormat="1" ht="15.75" x14ac:dyDescent="0.2">
      <c r="A134" s="13" t="s">
        <v>419</v>
      </c>
      <c r="B134" s="351">
        <v>0</v>
      </c>
      <c r="C134" s="352">
        <v>0</v>
      </c>
      <c r="D134" s="358">
        <f>IF(AND(_xlfn.NUMBERVALUE(B134)=0,_xlfn.NUMBERVALUE(C134)=0),,IF(B134=0, "    ---- ", IF(ABS(ROUND(100/B134*C134-100,1))&lt;999,IF(ROUND(100/B134*C134-100,1)=0,"    ---- ",ROUND(100/B134*C134-100,1)),IF(ROUND(100/B134*C134-100,1)&gt;999,999,-999))))</f>
        <v>0</v>
      </c>
      <c r="E134" s="356">
        <f>IFERROR(100/'Skjema total MA'!C134*C134,0)</f>
        <v>0</v>
      </c>
      <c r="F134" s="351">
        <v>0</v>
      </c>
      <c r="G134" s="352">
        <v>0</v>
      </c>
      <c r="H134" s="384">
        <f>IF(AND(_xlfn.NUMBERVALUE(F134)=0,_xlfn.NUMBERVALUE(G134)=0),,IF(F134=0, "    ---- ", IF(ABS(ROUND(100/F134*G134-100,1))&lt;999,IF(ROUND(100/F134*G134-100,1)=0,"    ---- ",ROUND(100/F134*G134-100,1)),IF(ROUND(100/F134*G134-100,1)&gt;999,999,-999))))</f>
        <v>0</v>
      </c>
      <c r="I134" s="356">
        <f>IFERROR(100/'Skjema total MA'!F134*G134,0)</f>
        <v>0</v>
      </c>
      <c r="J134" s="357">
        <f t="shared" si="21"/>
        <v>0</v>
      </c>
      <c r="K134" s="357">
        <f t="shared" si="21"/>
        <v>0</v>
      </c>
      <c r="L134" s="358">
        <f>IF(AND(_xlfn.NUMBERVALUE(J134)=0,_xlfn.NUMBERVALUE(K134)=0),,IF(J134=0, "    ---- ", IF(ABS(ROUND(100/J134*K134-100,1))&lt;999,IF(ROUND(100/J134*K134-100,1)=0,"    ---- ",ROUND(100/J134*K134-100,1)),IF(ROUND(100/J134*K134-100,1)&gt;999,999,-999))))</f>
        <v>0</v>
      </c>
      <c r="M134" s="356">
        <f>IFERROR(100/'Skjema total MA'!I134*K134,0)</f>
        <v>0</v>
      </c>
      <c r="N134" s="145"/>
      <c r="O134" s="145"/>
    </row>
    <row r="135" spans="1:15" s="3" customFormat="1" ht="15.75" x14ac:dyDescent="0.2">
      <c r="A135" s="39" t="s">
        <v>420</v>
      </c>
      <c r="B135" s="353">
        <v>0</v>
      </c>
      <c r="C135" s="354">
        <v>0</v>
      </c>
      <c r="D135" s="362">
        <f>IF(AND(_xlfn.NUMBERVALUE(B135)=0,_xlfn.NUMBERVALUE(C135)=0),,IF(B135=0, "    ---- ", IF(ABS(ROUND(100/B135*C135-100,1))&lt;999,IF(ROUND(100/B135*C135-100,1)=0,"    ---- ",ROUND(100/B135*C135-100,1)),IF(ROUND(100/B135*C135-100,1)&gt;999,999,-999))))</f>
        <v>0</v>
      </c>
      <c r="E135" s="381">
        <f>IFERROR(100/'Skjema total MA'!C135*C135,0)</f>
        <v>0</v>
      </c>
      <c r="F135" s="353">
        <v>0</v>
      </c>
      <c r="G135" s="354">
        <v>0</v>
      </c>
      <c r="H135" s="385">
        <f>IF(AND(_xlfn.NUMBERVALUE(F135)=0,_xlfn.NUMBERVALUE(G135)=0),,IF(F135=0, "    ---- ", IF(ABS(ROUND(100/F135*G135-100,1))&lt;999,IF(ROUND(100/F135*G135-100,1)=0,"    ---- ",ROUND(100/F135*G135-100,1)),IF(ROUND(100/F135*G135-100,1)&gt;999,999,-999))))</f>
        <v>0</v>
      </c>
      <c r="I135" s="381">
        <f>IFERROR(100/'Skjema total MA'!F135*G135,0)</f>
        <v>0</v>
      </c>
      <c r="J135" s="363">
        <f t="shared" si="21"/>
        <v>0</v>
      </c>
      <c r="K135" s="363">
        <f t="shared" si="21"/>
        <v>0</v>
      </c>
      <c r="L135" s="362">
        <f>IF(AND(_xlfn.NUMBERVALUE(J135)=0,_xlfn.NUMBERVALUE(K135)=0),,IF(J135=0, "    ---- ", IF(ABS(ROUND(100/J135*K135-100,1))&lt;999,IF(ROUND(100/J135*K135-100,1)=0,"    ---- ",ROUND(100/J135*K135-100,1)),IF(ROUND(100/J135*K135-100,1)&gt;999,999,-999))))</f>
        <v>0</v>
      </c>
      <c r="M135" s="362">
        <f>IFERROR(100/'Skjema total MA'!I135*K135,0)</f>
        <v>0</v>
      </c>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13">
    <mergeCell ref="B42:D42"/>
    <mergeCell ref="J129:L129"/>
    <mergeCell ref="F129:H129"/>
    <mergeCell ref="B129:D129"/>
    <mergeCell ref="J61:L61"/>
    <mergeCell ref="F61:H61"/>
    <mergeCell ref="B61:D61"/>
    <mergeCell ref="B4:D4"/>
    <mergeCell ref="F4:H4"/>
    <mergeCell ref="J4:L4"/>
    <mergeCell ref="J19:L19"/>
    <mergeCell ref="F19:H19"/>
    <mergeCell ref="B19:D19"/>
  </mergeCells>
  <conditionalFormatting sqref="B48:C50">
    <cfRule type="expression" dxfId="1902" priority="142">
      <formula>kvartal &lt; 4</formula>
    </cfRule>
  </conditionalFormatting>
  <conditionalFormatting sqref="B29">
    <cfRule type="expression" dxfId="1901" priority="140">
      <formula>kvartal &lt; 4</formula>
    </cfRule>
  </conditionalFormatting>
  <conditionalFormatting sqref="B30">
    <cfRule type="expression" dxfId="1900" priority="139">
      <formula>kvartal &lt; 4</formula>
    </cfRule>
  </conditionalFormatting>
  <conditionalFormatting sqref="B31">
    <cfRule type="expression" dxfId="1899" priority="138">
      <formula>kvartal &lt; 4</formula>
    </cfRule>
  </conditionalFormatting>
  <conditionalFormatting sqref="C29">
    <cfRule type="expression" dxfId="1898" priority="137">
      <formula>kvartal &lt; 4</formula>
    </cfRule>
  </conditionalFormatting>
  <conditionalFormatting sqref="C30">
    <cfRule type="expression" dxfId="1897" priority="136">
      <formula>kvartal &lt; 4</formula>
    </cfRule>
  </conditionalFormatting>
  <conditionalFormatting sqref="C31">
    <cfRule type="expression" dxfId="1896" priority="135">
      <formula>kvartal &lt; 4</formula>
    </cfRule>
  </conditionalFormatting>
  <conditionalFormatting sqref="B23:C25">
    <cfRule type="expression" dxfId="1895" priority="134">
      <formula>kvartal &lt; 4</formula>
    </cfRule>
  </conditionalFormatting>
  <conditionalFormatting sqref="F23:G25">
    <cfRule type="expression" dxfId="1894" priority="130">
      <formula>kvartal &lt; 4</formula>
    </cfRule>
  </conditionalFormatting>
  <conditionalFormatting sqref="F29">
    <cfRule type="expression" dxfId="1893" priority="123">
      <formula>kvartal &lt; 4</formula>
    </cfRule>
  </conditionalFormatting>
  <conditionalFormatting sqref="F30">
    <cfRule type="expression" dxfId="1892" priority="122">
      <formula>kvartal &lt; 4</formula>
    </cfRule>
  </conditionalFormatting>
  <conditionalFormatting sqref="F31">
    <cfRule type="expression" dxfId="1891" priority="121">
      <formula>kvartal &lt; 4</formula>
    </cfRule>
  </conditionalFormatting>
  <conditionalFormatting sqref="G29">
    <cfRule type="expression" dxfId="1890" priority="120">
      <formula>kvartal &lt; 4</formula>
    </cfRule>
  </conditionalFormatting>
  <conditionalFormatting sqref="G30">
    <cfRule type="expression" dxfId="1889" priority="119">
      <formula>kvartal &lt; 4</formula>
    </cfRule>
  </conditionalFormatting>
  <conditionalFormatting sqref="G31">
    <cfRule type="expression" dxfId="1888" priority="118">
      <formula>kvartal &lt; 4</formula>
    </cfRule>
  </conditionalFormatting>
  <conditionalFormatting sqref="B26">
    <cfRule type="expression" dxfId="1887" priority="117">
      <formula>kvartal &lt; 4</formula>
    </cfRule>
  </conditionalFormatting>
  <conditionalFormatting sqref="C26">
    <cfRule type="expression" dxfId="1886" priority="116">
      <formula>kvartal &lt; 4</formula>
    </cfRule>
  </conditionalFormatting>
  <conditionalFormatting sqref="F26">
    <cfRule type="expression" dxfId="1885" priority="115">
      <formula>kvartal &lt; 4</formula>
    </cfRule>
  </conditionalFormatting>
  <conditionalFormatting sqref="G26">
    <cfRule type="expression" dxfId="1884" priority="114">
      <formula>kvartal &lt; 4</formula>
    </cfRule>
  </conditionalFormatting>
  <conditionalFormatting sqref="J23:K26">
    <cfRule type="expression" dxfId="1883" priority="113">
      <formula>kvartal &lt; 4</formula>
    </cfRule>
  </conditionalFormatting>
  <conditionalFormatting sqref="J29:K31">
    <cfRule type="expression" dxfId="1882" priority="111">
      <formula>kvartal &lt; 4</formula>
    </cfRule>
  </conditionalFormatting>
  <conditionalFormatting sqref="B67">
    <cfRule type="expression" dxfId="1881" priority="110">
      <formula>kvartal &lt; 4</formula>
    </cfRule>
  </conditionalFormatting>
  <conditionalFormatting sqref="C67">
    <cfRule type="expression" dxfId="1880" priority="109">
      <formula>kvartal &lt; 4</formula>
    </cfRule>
  </conditionalFormatting>
  <conditionalFormatting sqref="B70">
    <cfRule type="expression" dxfId="1879" priority="108">
      <formula>kvartal &lt; 4</formula>
    </cfRule>
  </conditionalFormatting>
  <conditionalFormatting sqref="C70">
    <cfRule type="expression" dxfId="1878" priority="107">
      <formula>kvartal &lt; 4</formula>
    </cfRule>
  </conditionalFormatting>
  <conditionalFormatting sqref="B78">
    <cfRule type="expression" dxfId="1877" priority="106">
      <formula>kvartal &lt; 4</formula>
    </cfRule>
  </conditionalFormatting>
  <conditionalFormatting sqref="C78">
    <cfRule type="expression" dxfId="1876" priority="105">
      <formula>kvartal &lt; 4</formula>
    </cfRule>
  </conditionalFormatting>
  <conditionalFormatting sqref="B81">
    <cfRule type="expression" dxfId="1875" priority="104">
      <formula>kvartal &lt; 4</formula>
    </cfRule>
  </conditionalFormatting>
  <conditionalFormatting sqref="C81">
    <cfRule type="expression" dxfId="1874" priority="103">
      <formula>kvartal &lt; 4</formula>
    </cfRule>
  </conditionalFormatting>
  <conditionalFormatting sqref="B88">
    <cfRule type="expression" dxfId="1873" priority="94">
      <formula>kvartal &lt; 4</formula>
    </cfRule>
  </conditionalFormatting>
  <conditionalFormatting sqref="C88">
    <cfRule type="expression" dxfId="1872" priority="93">
      <formula>kvartal &lt; 4</formula>
    </cfRule>
  </conditionalFormatting>
  <conditionalFormatting sqref="B91">
    <cfRule type="expression" dxfId="1871" priority="92">
      <formula>kvartal &lt; 4</formula>
    </cfRule>
  </conditionalFormatting>
  <conditionalFormatting sqref="C91">
    <cfRule type="expression" dxfId="1870" priority="91">
      <formula>kvartal &lt; 4</formula>
    </cfRule>
  </conditionalFormatting>
  <conditionalFormatting sqref="B99">
    <cfRule type="expression" dxfId="1869" priority="90">
      <formula>kvartal &lt; 4</formula>
    </cfRule>
  </conditionalFormatting>
  <conditionalFormatting sqref="C99">
    <cfRule type="expression" dxfId="1868" priority="89">
      <formula>kvartal &lt; 4</formula>
    </cfRule>
  </conditionalFormatting>
  <conditionalFormatting sqref="B102">
    <cfRule type="expression" dxfId="1867" priority="88">
      <formula>kvartal &lt; 4</formula>
    </cfRule>
  </conditionalFormatting>
  <conditionalFormatting sqref="C102">
    <cfRule type="expression" dxfId="1866" priority="87">
      <formula>kvartal &lt; 4</formula>
    </cfRule>
  </conditionalFormatting>
  <conditionalFormatting sqref="B113">
    <cfRule type="expression" dxfId="1865" priority="86">
      <formula>kvartal &lt; 4</formula>
    </cfRule>
  </conditionalFormatting>
  <conditionalFormatting sqref="C113">
    <cfRule type="expression" dxfId="1864" priority="85">
      <formula>kvartal &lt; 4</formula>
    </cfRule>
  </conditionalFormatting>
  <conditionalFormatting sqref="B121">
    <cfRule type="expression" dxfId="1863" priority="84">
      <formula>kvartal &lt; 4</formula>
    </cfRule>
  </conditionalFormatting>
  <conditionalFormatting sqref="C121">
    <cfRule type="expression" dxfId="1862" priority="83">
      <formula>kvartal &lt; 4</formula>
    </cfRule>
  </conditionalFormatting>
  <conditionalFormatting sqref="F68">
    <cfRule type="expression" dxfId="1861" priority="82">
      <formula>kvartal &lt; 4</formula>
    </cfRule>
  </conditionalFormatting>
  <conditionalFormatting sqref="G68">
    <cfRule type="expression" dxfId="1860" priority="81">
      <formula>kvartal &lt; 4</formula>
    </cfRule>
  </conditionalFormatting>
  <conditionalFormatting sqref="F69:G69">
    <cfRule type="expression" dxfId="1859" priority="80">
      <formula>kvartal &lt; 4</formula>
    </cfRule>
  </conditionalFormatting>
  <conditionalFormatting sqref="F71:G72">
    <cfRule type="expression" dxfId="1858" priority="79">
      <formula>kvartal &lt; 4</formula>
    </cfRule>
  </conditionalFormatting>
  <conditionalFormatting sqref="F79:G80">
    <cfRule type="expression" dxfId="1857" priority="78">
      <formula>kvartal &lt; 4</formula>
    </cfRule>
  </conditionalFormatting>
  <conditionalFormatting sqref="F82:G83">
    <cfRule type="expression" dxfId="1856" priority="77">
      <formula>kvartal &lt; 4</formula>
    </cfRule>
  </conditionalFormatting>
  <conditionalFormatting sqref="F89:G90">
    <cfRule type="expression" dxfId="1855" priority="72">
      <formula>kvartal &lt; 4</formula>
    </cfRule>
  </conditionalFormatting>
  <conditionalFormatting sqref="F92:G93">
    <cfRule type="expression" dxfId="1854" priority="71">
      <formula>kvartal &lt; 4</formula>
    </cfRule>
  </conditionalFormatting>
  <conditionalFormatting sqref="F100:G101">
    <cfRule type="expression" dxfId="1853" priority="70">
      <formula>kvartal &lt; 4</formula>
    </cfRule>
  </conditionalFormatting>
  <conditionalFormatting sqref="F103:G104">
    <cfRule type="expression" dxfId="1852" priority="69">
      <formula>kvartal &lt; 4</formula>
    </cfRule>
  </conditionalFormatting>
  <conditionalFormatting sqref="F113">
    <cfRule type="expression" dxfId="1851" priority="68">
      <formula>kvartal &lt; 4</formula>
    </cfRule>
  </conditionalFormatting>
  <conditionalFormatting sqref="G113">
    <cfRule type="expression" dxfId="1850" priority="67">
      <formula>kvartal &lt; 4</formula>
    </cfRule>
  </conditionalFormatting>
  <conditionalFormatting sqref="F121:G121">
    <cfRule type="expression" dxfId="1849" priority="66">
      <formula>kvartal &lt; 4</formula>
    </cfRule>
  </conditionalFormatting>
  <conditionalFormatting sqref="F67:G67">
    <cfRule type="expression" dxfId="1848" priority="65">
      <formula>kvartal &lt; 4</formula>
    </cfRule>
  </conditionalFormatting>
  <conditionalFormatting sqref="F70:G70">
    <cfRule type="expression" dxfId="1847" priority="64">
      <formula>kvartal &lt; 4</formula>
    </cfRule>
  </conditionalFormatting>
  <conditionalFormatting sqref="F78:G78">
    <cfRule type="expression" dxfId="1846" priority="63">
      <formula>kvartal &lt; 4</formula>
    </cfRule>
  </conditionalFormatting>
  <conditionalFormatting sqref="F81:G81">
    <cfRule type="expression" dxfId="1845" priority="62">
      <formula>kvartal &lt; 4</formula>
    </cfRule>
  </conditionalFormatting>
  <conditionalFormatting sqref="F88:G88">
    <cfRule type="expression" dxfId="1844" priority="56">
      <formula>kvartal &lt; 4</formula>
    </cfRule>
  </conditionalFormatting>
  <conditionalFormatting sqref="F91">
    <cfRule type="expression" dxfId="1843" priority="55">
      <formula>kvartal &lt; 4</formula>
    </cfRule>
  </conditionalFormatting>
  <conditionalFormatting sqref="G91">
    <cfRule type="expression" dxfId="1842" priority="54">
      <formula>kvartal &lt; 4</formula>
    </cfRule>
  </conditionalFormatting>
  <conditionalFormatting sqref="F99">
    <cfRule type="expression" dxfId="1841" priority="53">
      <formula>kvartal &lt; 4</formula>
    </cfRule>
  </conditionalFormatting>
  <conditionalFormatting sqref="G99">
    <cfRule type="expression" dxfId="1840" priority="52">
      <formula>kvartal &lt; 4</formula>
    </cfRule>
  </conditionalFormatting>
  <conditionalFormatting sqref="G102">
    <cfRule type="expression" dxfId="1839" priority="51">
      <formula>kvartal &lt; 4</formula>
    </cfRule>
  </conditionalFormatting>
  <conditionalFormatting sqref="F102">
    <cfRule type="expression" dxfId="1838" priority="50">
      <formula>kvartal &lt; 4</formula>
    </cfRule>
  </conditionalFormatting>
  <conditionalFormatting sqref="J67:K71">
    <cfRule type="expression" dxfId="1837" priority="49">
      <formula>kvartal &lt; 4</formula>
    </cfRule>
  </conditionalFormatting>
  <conditionalFormatting sqref="J72:K72">
    <cfRule type="expression" dxfId="1836" priority="48">
      <formula>kvartal &lt; 4</formula>
    </cfRule>
  </conditionalFormatting>
  <conditionalFormatting sqref="J78:K83">
    <cfRule type="expression" dxfId="1835" priority="47">
      <formula>kvartal &lt; 4</formula>
    </cfRule>
  </conditionalFormatting>
  <conditionalFormatting sqref="J88:K93">
    <cfRule type="expression" dxfId="1834" priority="44">
      <formula>kvartal &lt; 4</formula>
    </cfRule>
  </conditionalFormatting>
  <conditionalFormatting sqref="J99:K104">
    <cfRule type="expression" dxfId="1833" priority="43">
      <formula>kvartal &lt; 4</formula>
    </cfRule>
  </conditionalFormatting>
  <conditionalFormatting sqref="J113:K113">
    <cfRule type="expression" dxfId="1832" priority="42">
      <formula>kvartal &lt; 4</formula>
    </cfRule>
  </conditionalFormatting>
  <conditionalFormatting sqref="J121:K121">
    <cfRule type="expression" dxfId="1831" priority="41">
      <formula>kvartal &lt; 4</formula>
    </cfRule>
  </conditionalFormatting>
  <conditionalFormatting sqref="A23:A25">
    <cfRule type="expression" dxfId="1830" priority="10">
      <formula>kvartal &lt; 4</formula>
    </cfRule>
  </conditionalFormatting>
  <conditionalFormatting sqref="A48:A50">
    <cfRule type="expression" dxfId="1829" priority="9">
      <formula>kvartal &lt; 4</formula>
    </cfRule>
  </conditionalFormatting>
  <conditionalFormatting sqref="A67:A72">
    <cfRule type="expression" dxfId="1828" priority="8">
      <formula>kvartal &lt; 4</formula>
    </cfRule>
  </conditionalFormatting>
  <conditionalFormatting sqref="A113">
    <cfRule type="expression" dxfId="1827" priority="7">
      <formula>kvartal &lt; 4</formula>
    </cfRule>
  </conditionalFormatting>
  <conditionalFormatting sqref="A121">
    <cfRule type="expression" dxfId="1826" priority="6">
      <formula>kvartal &lt; 4</formula>
    </cfRule>
  </conditionalFormatting>
  <conditionalFormatting sqref="A26">
    <cfRule type="expression" dxfId="1825" priority="5">
      <formula>kvartal &lt; 4</formula>
    </cfRule>
  </conditionalFormatting>
  <conditionalFormatting sqref="A29:A31">
    <cfRule type="expression" dxfId="1824" priority="4">
      <formula>kvartal &lt; 4</formula>
    </cfRule>
  </conditionalFormatting>
  <conditionalFormatting sqref="A78:A83">
    <cfRule type="expression" dxfId="1823" priority="3">
      <formula>kvartal &lt; 4</formula>
    </cfRule>
  </conditionalFormatting>
  <conditionalFormatting sqref="A88:A93">
    <cfRule type="expression" dxfId="1822" priority="2">
      <formula>kvartal &lt; 4</formula>
    </cfRule>
  </conditionalFormatting>
  <conditionalFormatting sqref="A99:A104">
    <cfRule type="expression" dxfId="1821"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42"/>
  <sheetViews>
    <sheetView showGridLines="0" zoomScaleNormal="100" workbookViewId="0"/>
  </sheetViews>
  <sheetFormatPr baseColWidth="10" defaultColWidth="11.42578125" defaultRowHeight="12.75" x14ac:dyDescent="0.2"/>
  <cols>
    <col min="1" max="1" width="41.5703125" style="146" customWidth="1"/>
    <col min="2" max="2" width="10.85546875" style="146" customWidth="1"/>
    <col min="3" max="3" width="11" style="146" customWidth="1"/>
    <col min="4" max="5" width="8.7109375" style="146" customWidth="1"/>
    <col min="6" max="7" width="10.85546875" style="146" customWidth="1"/>
    <col min="8" max="9" width="8.7109375" style="146" customWidth="1"/>
    <col min="10" max="11" width="10.85546875" style="146" customWidth="1"/>
    <col min="12" max="13" width="8.7109375" style="146" customWidth="1"/>
    <col min="14" max="14" width="11.42578125" style="146"/>
    <col min="15" max="15" width="3" style="146" bestFit="1" customWidth="1"/>
    <col min="16" max="16384" width="11.42578125" style="1"/>
  </cols>
  <sheetData>
    <row r="1" spans="1:15" x14ac:dyDescent="0.2">
      <c r="A1" s="665" t="s">
        <v>150</v>
      </c>
      <c r="B1" s="420"/>
      <c r="C1" s="247" t="s">
        <v>91</v>
      </c>
      <c r="D1" s="24"/>
      <c r="E1" s="24"/>
      <c r="F1" s="24"/>
      <c r="G1" s="24"/>
      <c r="H1" s="24"/>
      <c r="I1" s="24"/>
      <c r="J1" s="24"/>
      <c r="K1" s="24"/>
      <c r="L1" s="24"/>
      <c r="M1" s="24"/>
      <c r="O1" s="409"/>
    </row>
    <row r="2" spans="1:15" ht="15.75" x14ac:dyDescent="0.25">
      <c r="A2" s="162" t="s">
        <v>29</v>
      </c>
      <c r="B2" s="693"/>
      <c r="C2" s="693"/>
      <c r="D2" s="693"/>
      <c r="E2" s="389"/>
      <c r="F2" s="693"/>
      <c r="G2" s="693"/>
      <c r="H2" s="693"/>
      <c r="I2" s="389"/>
      <c r="J2" s="693"/>
      <c r="K2" s="693"/>
      <c r="L2" s="693"/>
      <c r="M2" s="389"/>
      <c r="O2" s="145"/>
    </row>
    <row r="3" spans="1:15" ht="15.75" x14ac:dyDescent="0.25">
      <c r="A3" s="160"/>
      <c r="B3" s="389"/>
      <c r="C3" s="389"/>
      <c r="D3" s="389"/>
      <c r="E3" s="389"/>
      <c r="F3" s="389"/>
      <c r="G3" s="389"/>
      <c r="H3" s="389"/>
      <c r="I3" s="389"/>
      <c r="J3" s="389"/>
      <c r="K3" s="389"/>
      <c r="L3" s="389"/>
      <c r="M3" s="389"/>
      <c r="O3" s="145"/>
    </row>
    <row r="4" spans="1:15" x14ac:dyDescent="0.2">
      <c r="A4" s="141"/>
      <c r="B4" s="690" t="s">
        <v>0</v>
      </c>
      <c r="C4" s="691"/>
      <c r="D4" s="691"/>
      <c r="E4" s="388"/>
      <c r="F4" s="690" t="s">
        <v>1</v>
      </c>
      <c r="G4" s="691"/>
      <c r="H4" s="691"/>
      <c r="I4" s="391"/>
      <c r="J4" s="690" t="s">
        <v>2</v>
      </c>
      <c r="K4" s="691"/>
      <c r="L4" s="691"/>
      <c r="M4" s="391"/>
      <c r="O4" s="145"/>
    </row>
    <row r="5" spans="1:15" x14ac:dyDescent="0.2">
      <c r="A5" s="155"/>
      <c r="B5" s="149" t="s">
        <v>387</v>
      </c>
      <c r="C5" s="149" t="s">
        <v>388</v>
      </c>
      <c r="D5" s="244" t="s">
        <v>3</v>
      </c>
      <c r="E5" s="294" t="s">
        <v>30</v>
      </c>
      <c r="F5" s="149" t="s">
        <v>387</v>
      </c>
      <c r="G5" s="149" t="s">
        <v>388</v>
      </c>
      <c r="H5" s="244" t="s">
        <v>3</v>
      </c>
      <c r="I5" s="159" t="s">
        <v>30</v>
      </c>
      <c r="J5" s="149" t="s">
        <v>387</v>
      </c>
      <c r="K5" s="149" t="s">
        <v>388</v>
      </c>
      <c r="L5" s="244" t="s">
        <v>3</v>
      </c>
      <c r="M5" s="159" t="s">
        <v>30</v>
      </c>
      <c r="O5" s="419"/>
    </row>
    <row r="6" spans="1:15" x14ac:dyDescent="0.2">
      <c r="A6" s="421"/>
      <c r="B6" s="153"/>
      <c r="C6" s="153"/>
      <c r="D6" s="245" t="s">
        <v>4</v>
      </c>
      <c r="E6" s="153" t="s">
        <v>31</v>
      </c>
      <c r="F6" s="158"/>
      <c r="G6" s="158"/>
      <c r="H6" s="244" t="s">
        <v>4</v>
      </c>
      <c r="I6" s="153" t="s">
        <v>31</v>
      </c>
      <c r="J6" s="158"/>
      <c r="K6" s="158"/>
      <c r="L6" s="244" t="s">
        <v>4</v>
      </c>
      <c r="M6" s="153" t="s">
        <v>31</v>
      </c>
      <c r="O6" s="145"/>
    </row>
    <row r="7" spans="1:15" ht="15.75" x14ac:dyDescent="0.2">
      <c r="A7" s="14" t="s">
        <v>24</v>
      </c>
      <c r="B7" s="295">
        <v>193714</v>
      </c>
      <c r="C7" s="296">
        <v>200106.223</v>
      </c>
      <c r="D7" s="336">
        <f t="shared" ref="D7:D10" si="0">IF(B7=0, "    ---- ", IF(ABS(ROUND(100/B7*C7-100,1))&lt;999,ROUND(100/B7*C7-100,1),IF(ROUND(100/B7*C7-100,1)&gt;999,999,-999)))</f>
        <v>3.3</v>
      </c>
      <c r="E7" s="11">
        <f>IFERROR(100/'Skjema total MA'!C7*C7,0)</f>
        <v>5.4683884610818261</v>
      </c>
      <c r="F7" s="295">
        <v>358404.74900000001</v>
      </c>
      <c r="G7" s="296">
        <v>294412.42</v>
      </c>
      <c r="H7" s="336">
        <f>IF(F7=0, "    ---- ", IF(ABS(ROUND(100/F7*G7-100,1))&lt;999,ROUND(100/F7*G7-100,1),IF(ROUND(100/F7*G7-100,1)&gt;999,999,-999)))</f>
        <v>-17.899999999999999</v>
      </c>
      <c r="I7" s="157">
        <f>IFERROR(100/'Skjema total MA'!F7*G7,0)</f>
        <v>4.655390068390397</v>
      </c>
      <c r="J7" s="297">
        <f t="shared" ref="J7:K12" si="1">SUM(B7,F7)</f>
        <v>552118.74900000007</v>
      </c>
      <c r="K7" s="298">
        <f t="shared" si="1"/>
        <v>494518.64299999998</v>
      </c>
      <c r="L7" s="410">
        <f>IF(J7=0, "    ---- ", IF(ABS(ROUND(100/J7*K7-100,1))&lt;999,ROUND(100/J7*K7-100,1),IF(ROUND(100/J7*K7-100,1)&gt;999,999,-999)))</f>
        <v>-10.4</v>
      </c>
      <c r="M7" s="11">
        <f>IFERROR(100/'Skjema total MA'!I7*K7,0)</f>
        <v>4.9533860672534189</v>
      </c>
      <c r="O7" s="145"/>
    </row>
    <row r="8" spans="1:15" ht="15.75" x14ac:dyDescent="0.2">
      <c r="A8" s="19" t="s">
        <v>26</v>
      </c>
      <c r="B8" s="278">
        <v>98662.42</v>
      </c>
      <c r="C8" s="279">
        <v>99855.937000000005</v>
      </c>
      <c r="D8" s="163">
        <f t="shared" si="0"/>
        <v>1.2</v>
      </c>
      <c r="E8" s="25">
        <f>IFERROR(100/'Skjema total MA'!C8*C8,0)</f>
        <v>5.0635200928983242</v>
      </c>
      <c r="F8" s="653"/>
      <c r="G8" s="654"/>
      <c r="H8" s="163"/>
      <c r="I8" s="173"/>
      <c r="J8" s="232">
        <f t="shared" si="1"/>
        <v>98662.42</v>
      </c>
      <c r="K8" s="282">
        <f t="shared" si="1"/>
        <v>99855.937000000005</v>
      </c>
      <c r="L8" s="253"/>
      <c r="M8" s="25">
        <f>IFERROR(100/'Skjema total MA'!I8*K8,0)</f>
        <v>5.0635200928983242</v>
      </c>
      <c r="O8" s="145"/>
    </row>
    <row r="9" spans="1:15" ht="15.75" x14ac:dyDescent="0.2">
      <c r="A9" s="19" t="s">
        <v>25</v>
      </c>
      <c r="B9" s="278">
        <v>63366.722999999904</v>
      </c>
      <c r="C9" s="279">
        <v>59231.656000000003</v>
      </c>
      <c r="D9" s="163">
        <f t="shared" si="0"/>
        <v>-6.5</v>
      </c>
      <c r="E9" s="25">
        <f>IFERROR(100/'Skjema total MA'!C9*C9,0)</f>
        <v>6.5960862238895634</v>
      </c>
      <c r="F9" s="653"/>
      <c r="G9" s="654"/>
      <c r="H9" s="163"/>
      <c r="I9" s="173"/>
      <c r="J9" s="232">
        <f t="shared" si="1"/>
        <v>63366.722999999904</v>
      </c>
      <c r="K9" s="282">
        <f t="shared" si="1"/>
        <v>59231.656000000003</v>
      </c>
      <c r="L9" s="253"/>
      <c r="M9" s="25">
        <f>IFERROR(100/'Skjema total MA'!I9*K9,0)</f>
        <v>6.5960862238895634</v>
      </c>
      <c r="O9" s="145"/>
    </row>
    <row r="10" spans="1:15" ht="15.75" x14ac:dyDescent="0.2">
      <c r="A10" s="13" t="s">
        <v>398</v>
      </c>
      <c r="B10" s="299">
        <v>345270</v>
      </c>
      <c r="C10" s="300">
        <v>334898.34100000001</v>
      </c>
      <c r="D10" s="168">
        <f t="shared" si="0"/>
        <v>-3</v>
      </c>
      <c r="E10" s="11">
        <f>IFERROR(100/'Skjema total MA'!C10*C10,0)</f>
        <v>1.4895000733764296</v>
      </c>
      <c r="F10" s="299">
        <v>1840275.06</v>
      </c>
      <c r="G10" s="300">
        <v>2366582.773</v>
      </c>
      <c r="H10" s="168">
        <f>IF(F10=0, "    ---- ", IF(ABS(ROUND(100/F10*G10-100,1))&lt;999,ROUND(100/F10*G10-100,1),IF(ROUND(100/F10*G10-100,1)&gt;999,999,-999)))</f>
        <v>28.6</v>
      </c>
      <c r="I10" s="157">
        <f>IFERROR(100/'Skjema total MA'!F10*G10,0)</f>
        <v>6.0567270723682851</v>
      </c>
      <c r="J10" s="297">
        <f t="shared" si="1"/>
        <v>2185545.06</v>
      </c>
      <c r="K10" s="298">
        <f t="shared" si="1"/>
        <v>2701481.1140000001</v>
      </c>
      <c r="L10" s="411">
        <f>IF(J10=0, "    ---- ", IF(ABS(ROUND(100/J10*K10-100,1))&lt;999,ROUND(100/J10*K10-100,1),IF(ROUND(100/J10*K10-100,1)&gt;999,999,-999)))</f>
        <v>23.6</v>
      </c>
      <c r="M10" s="11">
        <f>IFERROR(100/'Skjema total MA'!I10*K10,0)</f>
        <v>4.3885443455367268</v>
      </c>
      <c r="O10" s="145"/>
    </row>
    <row r="11" spans="1:15" s="41" customFormat="1" ht="15.75" x14ac:dyDescent="0.2">
      <c r="A11" s="13" t="s">
        <v>399</v>
      </c>
      <c r="B11" s="299"/>
      <c r="C11" s="300"/>
      <c r="D11" s="168"/>
      <c r="E11" s="11"/>
      <c r="F11" s="299">
        <v>91323.101999999999</v>
      </c>
      <c r="G11" s="300">
        <v>53433.341999999997</v>
      </c>
      <c r="H11" s="168">
        <f>IF(F11=0, "    ---- ", IF(ABS(ROUND(100/F11*G11-100,1))&lt;999,ROUND(100/F11*G11-100,1),IF(ROUND(100/F11*G11-100,1)&gt;999,999,-999)))</f>
        <v>-41.5</v>
      </c>
      <c r="I11" s="157">
        <f>IFERROR(100/'Skjema total MA'!F11*G11,0)</f>
        <v>26.976502512112319</v>
      </c>
      <c r="J11" s="297">
        <f t="shared" si="1"/>
        <v>91323.101999999999</v>
      </c>
      <c r="K11" s="298">
        <f t="shared" si="1"/>
        <v>53433.341999999997</v>
      </c>
      <c r="L11" s="411">
        <f>IF(J11=0, "    ---- ", IF(ABS(ROUND(100/J11*K11-100,1))&lt;999,ROUND(100/J11*K11-100,1),IF(ROUND(100/J11*K11-100,1)&gt;999,999,-999)))</f>
        <v>-41.5</v>
      </c>
      <c r="M11" s="11">
        <f>IFERROR(100/'Skjema total MA'!I11*K11,0)</f>
        <v>18.846300737895966</v>
      </c>
      <c r="N11" s="140"/>
      <c r="O11" s="145"/>
    </row>
    <row r="12" spans="1:15" s="41" customFormat="1" ht="15.75" x14ac:dyDescent="0.2">
      <c r="A12" s="39" t="s">
        <v>400</v>
      </c>
      <c r="B12" s="301"/>
      <c r="C12" s="302"/>
      <c r="D12" s="166"/>
      <c r="E12" s="34"/>
      <c r="F12" s="301">
        <v>22221.028999999999</v>
      </c>
      <c r="G12" s="302">
        <v>18497.522000000001</v>
      </c>
      <c r="H12" s="166">
        <f>IF(F12=0, "    ---- ", IF(ABS(ROUND(100/F12*G12-100,1))&lt;999,ROUND(100/F12*G12-100,1),IF(ROUND(100/F12*G12-100,1)&gt;999,999,-999)))</f>
        <v>-16.8</v>
      </c>
      <c r="I12" s="166">
        <f>IFERROR(100/'Skjema total MA'!F12*G12,0)</f>
        <v>18.627817205047496</v>
      </c>
      <c r="J12" s="303">
        <f t="shared" si="1"/>
        <v>22221.028999999999</v>
      </c>
      <c r="K12" s="304">
        <f t="shared" si="1"/>
        <v>18497.522000000001</v>
      </c>
      <c r="L12" s="412">
        <f>IF(J12=0, "    ---- ", IF(ABS(ROUND(100/J12*K12-100,1))&lt;999,ROUND(100/J12*K12-100,1),IF(ROUND(100/J12*K12-100,1)&gt;999,999,-999)))</f>
        <v>-16.8</v>
      </c>
      <c r="M12" s="34">
        <f>IFERROR(100/'Skjema total MA'!I12*K12,0)</f>
        <v>14.577427968103789</v>
      </c>
      <c r="N12" s="140"/>
      <c r="O12" s="145"/>
    </row>
    <row r="13" spans="1:15" s="41" customFormat="1" x14ac:dyDescent="0.2">
      <c r="A13" s="165"/>
      <c r="B13" s="142"/>
      <c r="C13" s="31"/>
      <c r="D13" s="156"/>
      <c r="E13" s="156"/>
      <c r="F13" s="142"/>
      <c r="G13" s="31"/>
      <c r="H13" s="156"/>
      <c r="I13" s="156"/>
      <c r="J13" s="46"/>
      <c r="K13" s="46"/>
      <c r="L13" s="156"/>
      <c r="M13" s="156"/>
      <c r="N13" s="140"/>
      <c r="O13" s="409"/>
    </row>
    <row r="14" spans="1:15" x14ac:dyDescent="0.2">
      <c r="A14" s="150" t="s">
        <v>292</v>
      </c>
      <c r="B14" s="24"/>
      <c r="O14" s="145"/>
    </row>
    <row r="15" spans="1:15" x14ac:dyDescent="0.2">
      <c r="F15" s="143"/>
      <c r="G15" s="143"/>
      <c r="H15" s="143"/>
      <c r="I15" s="143"/>
      <c r="J15" s="143"/>
      <c r="K15" s="143"/>
      <c r="L15" s="143"/>
      <c r="M15" s="143"/>
      <c r="O15" s="145"/>
    </row>
    <row r="16" spans="1:15" s="3" customFormat="1" ht="15.75" x14ac:dyDescent="0.25">
      <c r="A16" s="161"/>
      <c r="B16" s="145"/>
      <c r="C16" s="151"/>
      <c r="D16" s="151"/>
      <c r="E16" s="151"/>
      <c r="F16" s="151"/>
      <c r="G16" s="151"/>
      <c r="H16" s="151"/>
      <c r="I16" s="151"/>
      <c r="J16" s="151"/>
      <c r="K16" s="151"/>
      <c r="L16" s="151"/>
      <c r="M16" s="151"/>
      <c r="N16" s="145"/>
      <c r="O16" s="145"/>
    </row>
    <row r="17" spans="1:15" ht="15.75" x14ac:dyDescent="0.25">
      <c r="A17" s="144" t="s">
        <v>289</v>
      </c>
      <c r="B17" s="154"/>
      <c r="C17" s="154"/>
      <c r="D17" s="148"/>
      <c r="E17" s="148"/>
      <c r="F17" s="154"/>
      <c r="G17" s="154"/>
      <c r="H17" s="154"/>
      <c r="I17" s="154"/>
      <c r="J17" s="154"/>
      <c r="K17" s="154"/>
      <c r="L17" s="154"/>
      <c r="M17" s="154"/>
      <c r="O17" s="145"/>
    </row>
    <row r="18" spans="1:15" ht="15.75" x14ac:dyDescent="0.25">
      <c r="B18" s="694"/>
      <c r="C18" s="694"/>
      <c r="D18" s="694"/>
      <c r="E18" s="389"/>
      <c r="F18" s="694"/>
      <c r="G18" s="694"/>
      <c r="H18" s="694"/>
      <c r="I18" s="389"/>
      <c r="J18" s="694"/>
      <c r="K18" s="694"/>
      <c r="L18" s="694"/>
      <c r="M18" s="389"/>
      <c r="O18" s="145"/>
    </row>
    <row r="19" spans="1:15" x14ac:dyDescent="0.2">
      <c r="A19" s="141"/>
      <c r="B19" s="690" t="s">
        <v>0</v>
      </c>
      <c r="C19" s="691"/>
      <c r="D19" s="691"/>
      <c r="E19" s="388"/>
      <c r="F19" s="690" t="s">
        <v>1</v>
      </c>
      <c r="G19" s="691"/>
      <c r="H19" s="691"/>
      <c r="I19" s="391"/>
      <c r="J19" s="690" t="s">
        <v>2</v>
      </c>
      <c r="K19" s="691"/>
      <c r="L19" s="691"/>
      <c r="M19" s="391"/>
      <c r="O19" s="145"/>
    </row>
    <row r="20" spans="1:15" x14ac:dyDescent="0.2">
      <c r="A20" s="138" t="s">
        <v>5</v>
      </c>
      <c r="B20" s="241" t="s">
        <v>387</v>
      </c>
      <c r="C20" s="241" t="s">
        <v>388</v>
      </c>
      <c r="D20" s="159" t="s">
        <v>3</v>
      </c>
      <c r="E20" s="294" t="s">
        <v>30</v>
      </c>
      <c r="F20" s="241" t="s">
        <v>387</v>
      </c>
      <c r="G20" s="241" t="s">
        <v>388</v>
      </c>
      <c r="H20" s="159" t="s">
        <v>3</v>
      </c>
      <c r="I20" s="159" t="s">
        <v>30</v>
      </c>
      <c r="J20" s="149" t="s">
        <v>387</v>
      </c>
      <c r="K20" s="149" t="s">
        <v>388</v>
      </c>
      <c r="L20" s="159" t="s">
        <v>3</v>
      </c>
      <c r="M20" s="159" t="s">
        <v>30</v>
      </c>
      <c r="O20" s="145"/>
    </row>
    <row r="21" spans="1:15" x14ac:dyDescent="0.2">
      <c r="A21" s="418"/>
      <c r="B21" s="153"/>
      <c r="C21" s="153"/>
      <c r="D21" s="245" t="s">
        <v>4</v>
      </c>
      <c r="E21" s="399" t="s">
        <v>31</v>
      </c>
      <c r="F21" s="158"/>
      <c r="G21" s="158"/>
      <c r="H21" s="244" t="s">
        <v>4</v>
      </c>
      <c r="I21" s="153" t="s">
        <v>31</v>
      </c>
      <c r="J21" s="158"/>
      <c r="K21" s="158"/>
      <c r="L21" s="153" t="s">
        <v>4</v>
      </c>
      <c r="M21" s="153" t="s">
        <v>31</v>
      </c>
      <c r="O21" s="145"/>
    </row>
    <row r="22" spans="1:15" ht="15.75" x14ac:dyDescent="0.2">
      <c r="A22" s="14" t="s">
        <v>24</v>
      </c>
      <c r="B22" s="305">
        <v>14172</v>
      </c>
      <c r="C22" s="306">
        <v>13236.677</v>
      </c>
      <c r="D22" s="336">
        <f t="shared" ref="D22:D28" si="2">IF(B22=0, "    ---- ", IF(ABS(ROUND(100/B22*C22-100,1))&lt;999,ROUND(100/B22*C22-100,1),IF(ROUND(100/B22*C22-100,1)&gt;999,999,-999)))</f>
        <v>-6.6</v>
      </c>
      <c r="E22" s="11">
        <f>IFERROR(100/'Skjema total MA'!C22*C22,0)</f>
        <v>1.0366862817653459</v>
      </c>
      <c r="F22" s="307">
        <v>7351.7129999999997</v>
      </c>
      <c r="G22" s="306">
        <v>6751.049</v>
      </c>
      <c r="H22" s="336">
        <f>IF(F22=0, "    ---- ", IF(ABS(ROUND(100/F22*G22-100,1))&lt;999,ROUND(100/F22*G22-100,1),IF(ROUND(100/F22*G22-100,1)&gt;999,999,-999)))</f>
        <v>-8.1999999999999993</v>
      </c>
      <c r="I22" s="157">
        <f>IFERROR(100/'Skjema total MA'!F22*G22,0)</f>
        <v>2.4307271061319171</v>
      </c>
      <c r="J22" s="305">
        <f t="shared" ref="J22:K33" si="3">SUM(B22,F22)</f>
        <v>21523.713</v>
      </c>
      <c r="K22" s="305">
        <f t="shared" si="3"/>
        <v>19987.725999999999</v>
      </c>
      <c r="L22" s="410">
        <f>IF(J22=0, "    ---- ", IF(ABS(ROUND(100/J22*K22-100,1))&lt;999,ROUND(100/J22*K22-100,1),IF(ROUND(100/J22*K22-100,1)&gt;999,999,-999)))</f>
        <v>-7.1</v>
      </c>
      <c r="M22" s="22">
        <f>IFERROR(100/'Skjema total MA'!I22*K22,0)</f>
        <v>1.2857451824048305</v>
      </c>
      <c r="O22" s="145"/>
    </row>
    <row r="23" spans="1:15" ht="15.75" x14ac:dyDescent="0.2">
      <c r="A23" s="652" t="s">
        <v>401</v>
      </c>
      <c r="B23" s="653"/>
      <c r="C23" s="653"/>
      <c r="D23" s="163"/>
      <c r="E23" s="400"/>
      <c r="F23" s="653"/>
      <c r="G23" s="653"/>
      <c r="H23" s="163"/>
      <c r="I23" s="238"/>
      <c r="J23" s="653"/>
      <c r="K23" s="653"/>
      <c r="L23" s="163"/>
      <c r="M23" s="21"/>
      <c r="O23" s="145"/>
    </row>
    <row r="24" spans="1:15" ht="15.75" x14ac:dyDescent="0.2">
      <c r="A24" s="652" t="s">
        <v>402</v>
      </c>
      <c r="B24" s="653"/>
      <c r="C24" s="653"/>
      <c r="D24" s="163"/>
      <c r="E24" s="400"/>
      <c r="F24" s="653"/>
      <c r="G24" s="653"/>
      <c r="H24" s="163"/>
      <c r="I24" s="238"/>
      <c r="J24" s="653"/>
      <c r="K24" s="653"/>
      <c r="L24" s="163"/>
      <c r="M24" s="21"/>
      <c r="O24" s="145"/>
    </row>
    <row r="25" spans="1:15" ht="15.75" x14ac:dyDescent="0.2">
      <c r="A25" s="652" t="s">
        <v>403</v>
      </c>
      <c r="B25" s="653"/>
      <c r="C25" s="653"/>
      <c r="D25" s="163"/>
      <c r="E25" s="400"/>
      <c r="F25" s="653"/>
      <c r="G25" s="653"/>
      <c r="H25" s="163"/>
      <c r="I25" s="238"/>
      <c r="J25" s="653"/>
      <c r="K25" s="653"/>
      <c r="L25" s="163"/>
      <c r="M25" s="21"/>
      <c r="O25" s="145"/>
    </row>
    <row r="26" spans="1:15" x14ac:dyDescent="0.2">
      <c r="A26" s="652" t="s">
        <v>11</v>
      </c>
      <c r="B26" s="653"/>
      <c r="C26" s="653"/>
      <c r="D26" s="163"/>
      <c r="E26" s="400"/>
      <c r="F26" s="653"/>
      <c r="G26" s="653"/>
      <c r="H26" s="163"/>
      <c r="I26" s="238"/>
      <c r="J26" s="653"/>
      <c r="K26" s="653"/>
      <c r="L26" s="163"/>
      <c r="M26" s="21"/>
      <c r="O26" s="145"/>
    </row>
    <row r="27" spans="1:15" ht="15.75" x14ac:dyDescent="0.2">
      <c r="A27" s="47" t="s">
        <v>293</v>
      </c>
      <c r="B27" s="42">
        <v>14172</v>
      </c>
      <c r="C27" s="282">
        <v>13236.677</v>
      </c>
      <c r="D27" s="163">
        <f t="shared" si="2"/>
        <v>-6.6</v>
      </c>
      <c r="E27" s="25">
        <f>IFERROR(100/'Skjema total MA'!C27*C27,0)</f>
        <v>1.0295727449276599</v>
      </c>
      <c r="F27" s="232"/>
      <c r="G27" s="282"/>
      <c r="H27" s="163"/>
      <c r="I27" s="173"/>
      <c r="J27" s="42">
        <f t="shared" si="3"/>
        <v>14172</v>
      </c>
      <c r="K27" s="42">
        <f t="shared" si="3"/>
        <v>13236.677</v>
      </c>
      <c r="L27" s="253">
        <f>IF(J27=0, "    ---- ", IF(ABS(ROUND(100/J27*K27-100,1))&lt;999,ROUND(100/J27*K27-100,1),IF(ROUND(100/J27*K27-100,1)&gt;999,999,-999)))</f>
        <v>-6.6</v>
      </c>
      <c r="M27" s="21">
        <f>IFERROR(100/'Skjema total MA'!I27*K27,0)</f>
        <v>1.0295727449276599</v>
      </c>
      <c r="O27" s="145"/>
    </row>
    <row r="28" spans="1:15" s="3" customFormat="1" ht="15.75" x14ac:dyDescent="0.2">
      <c r="A28" s="13" t="s">
        <v>398</v>
      </c>
      <c r="B28" s="234">
        <v>57716</v>
      </c>
      <c r="C28" s="298">
        <v>71440.718999999997</v>
      </c>
      <c r="D28" s="168">
        <f t="shared" si="2"/>
        <v>23.8</v>
      </c>
      <c r="E28" s="11">
        <f>IFERROR(100/'Skjema total MA'!C28*C28,0)</f>
        <v>0.13978572815449317</v>
      </c>
      <c r="F28" s="297">
        <v>2203891.0329999998</v>
      </c>
      <c r="G28" s="298">
        <v>2223325.6170000001</v>
      </c>
      <c r="H28" s="168">
        <f>IF(F28=0, "    ---- ", IF(ABS(ROUND(100/F28*G28-100,1))&lt;999,ROUND(100/F28*G28-100,1),IF(ROUND(100/F28*G28-100,1)&gt;999,999,-999)))</f>
        <v>0.9</v>
      </c>
      <c r="I28" s="157">
        <f>IFERROR(100/'Skjema total MA'!F28*G28,0)</f>
        <v>11.379601960717897</v>
      </c>
      <c r="J28" s="234">
        <f t="shared" si="3"/>
        <v>2261607.0329999998</v>
      </c>
      <c r="K28" s="234">
        <f t="shared" si="3"/>
        <v>2294766.3360000001</v>
      </c>
      <c r="L28" s="411">
        <f>IF(J28=0, "    ---- ", IF(ABS(ROUND(100/J28*K28-100,1))&lt;999,ROUND(100/J28*K28-100,1),IF(ROUND(100/J28*K28-100,1)&gt;999,999,-999)))</f>
        <v>1.5</v>
      </c>
      <c r="M28" s="22">
        <f>IFERROR(100/'Skjema total MA'!I28*K28,0)</f>
        <v>3.2483012442450532</v>
      </c>
      <c r="N28" s="145"/>
      <c r="O28" s="145"/>
    </row>
    <row r="29" spans="1:15" s="3" customFormat="1" ht="15.75" x14ac:dyDescent="0.2">
      <c r="A29" s="652" t="s">
        <v>401</v>
      </c>
      <c r="B29" s="653"/>
      <c r="C29" s="653"/>
      <c r="D29" s="163"/>
      <c r="E29" s="400"/>
      <c r="F29" s="653"/>
      <c r="G29" s="653"/>
      <c r="H29" s="163"/>
      <c r="I29" s="238"/>
      <c r="J29" s="653"/>
      <c r="K29" s="653"/>
      <c r="L29" s="163"/>
      <c r="M29" s="21"/>
      <c r="N29" s="145"/>
      <c r="O29" s="145"/>
    </row>
    <row r="30" spans="1:15" s="3" customFormat="1" ht="15.75" x14ac:dyDescent="0.2">
      <c r="A30" s="652" t="s">
        <v>402</v>
      </c>
      <c r="B30" s="653"/>
      <c r="C30" s="653"/>
      <c r="D30" s="163"/>
      <c r="E30" s="400"/>
      <c r="F30" s="653"/>
      <c r="G30" s="653"/>
      <c r="H30" s="163"/>
      <c r="I30" s="238"/>
      <c r="J30" s="653"/>
      <c r="K30" s="653"/>
      <c r="L30" s="163"/>
      <c r="M30" s="21"/>
      <c r="N30" s="145"/>
      <c r="O30" s="145"/>
    </row>
    <row r="31" spans="1:15" ht="15.75" x14ac:dyDescent="0.2">
      <c r="A31" s="652" t="s">
        <v>403</v>
      </c>
      <c r="B31" s="653"/>
      <c r="C31" s="653"/>
      <c r="D31" s="163"/>
      <c r="E31" s="400"/>
      <c r="F31" s="653"/>
      <c r="G31" s="653"/>
      <c r="H31" s="163"/>
      <c r="I31" s="238"/>
      <c r="J31" s="653"/>
      <c r="K31" s="653"/>
      <c r="L31" s="163"/>
      <c r="M31" s="21"/>
      <c r="O31" s="145"/>
    </row>
    <row r="32" spans="1:15" ht="15.75" x14ac:dyDescent="0.2">
      <c r="A32" s="13" t="s">
        <v>399</v>
      </c>
      <c r="B32" s="234"/>
      <c r="C32" s="298"/>
      <c r="D32" s="168"/>
      <c r="E32" s="11"/>
      <c r="F32" s="297">
        <v>28611.032999999999</v>
      </c>
      <c r="G32" s="298">
        <v>21509.809000000001</v>
      </c>
      <c r="H32" s="168">
        <f>IF(F32=0, "    ---- ", IF(ABS(ROUND(100/F32*G32-100,1))&lt;999,ROUND(100/F32*G32-100,1),IF(ROUND(100/F32*G32-100,1)&gt;999,999,-999)))</f>
        <v>-24.8</v>
      </c>
      <c r="I32" s="157">
        <f>IFERROR(100/'Skjema total MA'!F32*G32,0)</f>
        <v>279.71408498490536</v>
      </c>
      <c r="J32" s="234">
        <f t="shared" si="3"/>
        <v>28611.032999999999</v>
      </c>
      <c r="K32" s="234">
        <f t="shared" si="3"/>
        <v>21509.809000000001</v>
      </c>
      <c r="L32" s="411">
        <f>IF(J32=0, "    ---- ", IF(ABS(ROUND(100/J32*K32-100,1))&lt;999,ROUND(100/J32*K32-100,1),IF(ROUND(100/J32*K32-100,1)&gt;999,999,-999)))</f>
        <v>-24.8</v>
      </c>
      <c r="M32" s="22">
        <f>IFERROR(100/'Skjema total MA'!I32*K32,0)</f>
        <v>50.45317491016457</v>
      </c>
      <c r="O32" s="145"/>
    </row>
    <row r="33" spans="1:15" ht="15.75" x14ac:dyDescent="0.2">
      <c r="A33" s="13" t="s">
        <v>400</v>
      </c>
      <c r="B33" s="234"/>
      <c r="C33" s="298"/>
      <c r="D33" s="168"/>
      <c r="E33" s="11"/>
      <c r="F33" s="297">
        <v>7079.59</v>
      </c>
      <c r="G33" s="298">
        <v>16763.870999999999</v>
      </c>
      <c r="H33" s="168">
        <f>IF(F33=0, "    ---- ", IF(ABS(ROUND(100/F33*G33-100,1))&lt;999,ROUND(100/F33*G33-100,1),IF(ROUND(100/F33*G33-100,1)&gt;999,999,-999)))</f>
        <v>136.80000000000001</v>
      </c>
      <c r="I33" s="157">
        <f>IFERROR(100/'Skjema total MA'!F33*G33,0)</f>
        <v>20.441538889094755</v>
      </c>
      <c r="J33" s="234">
        <f t="shared" si="3"/>
        <v>7079.59</v>
      </c>
      <c r="K33" s="234">
        <f t="shared" si="3"/>
        <v>16763.870999999999</v>
      </c>
      <c r="L33" s="411">
        <f>IF(J33=0, "    ---- ", IF(ABS(ROUND(100/J33*K33-100,1))&lt;999,ROUND(100/J33*K33-100,1),IF(ROUND(100/J33*K33-100,1)&gt;999,999,-999)))</f>
        <v>136.80000000000001</v>
      </c>
      <c r="M33" s="22">
        <f>IFERROR(100/'Skjema total MA'!I33*K33,0)</f>
        <v>67.967015389291248</v>
      </c>
      <c r="O33" s="145"/>
    </row>
    <row r="34" spans="1:15" ht="15.75" x14ac:dyDescent="0.2">
      <c r="A34" s="12" t="s">
        <v>301</v>
      </c>
      <c r="B34" s="234"/>
      <c r="C34" s="298"/>
      <c r="D34" s="168"/>
      <c r="E34" s="11"/>
      <c r="F34" s="655"/>
      <c r="G34" s="656"/>
      <c r="H34" s="168"/>
      <c r="I34" s="413"/>
      <c r="J34" s="234"/>
      <c r="K34" s="234"/>
      <c r="L34" s="411"/>
      <c r="M34" s="22"/>
      <c r="O34" s="145"/>
    </row>
    <row r="35" spans="1:15" ht="15.75" x14ac:dyDescent="0.2">
      <c r="A35" s="12" t="s">
        <v>404</v>
      </c>
      <c r="B35" s="234"/>
      <c r="C35" s="298"/>
      <c r="D35" s="168"/>
      <c r="E35" s="11"/>
      <c r="F35" s="655"/>
      <c r="G35" s="657"/>
      <c r="H35" s="168"/>
      <c r="I35" s="413"/>
      <c r="J35" s="234"/>
      <c r="K35" s="234"/>
      <c r="L35" s="411"/>
      <c r="M35" s="22"/>
      <c r="O35" s="145"/>
    </row>
    <row r="36" spans="1:15" ht="15.75" x14ac:dyDescent="0.2">
      <c r="A36" s="12" t="s">
        <v>405</v>
      </c>
      <c r="B36" s="234"/>
      <c r="C36" s="298"/>
      <c r="D36" s="168"/>
      <c r="E36" s="22"/>
      <c r="F36" s="655"/>
      <c r="G36" s="656"/>
      <c r="H36" s="168"/>
      <c r="I36" s="413"/>
      <c r="J36" s="234"/>
      <c r="K36" s="234"/>
      <c r="L36" s="411"/>
      <c r="M36" s="22"/>
      <c r="O36" s="145"/>
    </row>
    <row r="37" spans="1:15" ht="15.75" x14ac:dyDescent="0.2">
      <c r="A37" s="17" t="s">
        <v>406</v>
      </c>
      <c r="B37" s="273"/>
      <c r="C37" s="304"/>
      <c r="D37" s="166"/>
      <c r="E37" s="34"/>
      <c r="F37" s="658"/>
      <c r="G37" s="659"/>
      <c r="H37" s="166"/>
      <c r="I37" s="166"/>
      <c r="J37" s="234"/>
      <c r="K37" s="234"/>
      <c r="L37" s="412"/>
      <c r="M37" s="34"/>
      <c r="O37" s="145"/>
    </row>
    <row r="38" spans="1:15" ht="15.75" x14ac:dyDescent="0.25">
      <c r="A38" s="45"/>
      <c r="B38" s="252"/>
      <c r="C38" s="252"/>
      <c r="D38" s="695"/>
      <c r="E38" s="695"/>
      <c r="F38" s="695"/>
      <c r="G38" s="695"/>
      <c r="H38" s="695"/>
      <c r="I38" s="695"/>
      <c r="J38" s="695"/>
      <c r="K38" s="695"/>
      <c r="L38" s="695"/>
      <c r="M38" s="390"/>
      <c r="O38" s="145"/>
    </row>
    <row r="39" spans="1:15" x14ac:dyDescent="0.2">
      <c r="A39" s="152"/>
      <c r="O39" s="145"/>
    </row>
    <row r="40" spans="1:15" ht="15.75" x14ac:dyDescent="0.25">
      <c r="A40" s="144" t="s">
        <v>290</v>
      </c>
      <c r="B40" s="693"/>
      <c r="C40" s="693"/>
      <c r="D40" s="693"/>
      <c r="E40" s="389"/>
      <c r="F40" s="696"/>
      <c r="G40" s="696"/>
      <c r="H40" s="696"/>
      <c r="I40" s="390"/>
      <c r="J40" s="696"/>
      <c r="K40" s="696"/>
      <c r="L40" s="696"/>
      <c r="M40" s="390"/>
      <c r="O40" s="145"/>
    </row>
    <row r="41" spans="1:15" ht="15.75" x14ac:dyDescent="0.25">
      <c r="A41" s="160"/>
      <c r="B41" s="386"/>
      <c r="C41" s="386"/>
      <c r="D41" s="386"/>
      <c r="E41" s="386"/>
      <c r="F41" s="390"/>
      <c r="G41" s="390"/>
      <c r="H41" s="390"/>
      <c r="I41" s="390"/>
      <c r="J41" s="390"/>
      <c r="K41" s="390"/>
      <c r="L41" s="390"/>
      <c r="M41" s="390"/>
      <c r="O41" s="145"/>
    </row>
    <row r="42" spans="1:15" ht="15.75" x14ac:dyDescent="0.25">
      <c r="A42" s="246"/>
      <c r="B42" s="690" t="s">
        <v>0</v>
      </c>
      <c r="C42" s="691"/>
      <c r="D42" s="691"/>
      <c r="E42" s="242"/>
      <c r="F42" s="390"/>
      <c r="G42" s="390"/>
      <c r="H42" s="390"/>
      <c r="I42" s="390"/>
      <c r="J42" s="390"/>
      <c r="K42" s="390"/>
      <c r="L42" s="390"/>
      <c r="M42" s="390"/>
      <c r="O42" s="145"/>
    </row>
    <row r="43" spans="1:15" s="3" customFormat="1" x14ac:dyDescent="0.2">
      <c r="A43" s="138"/>
      <c r="B43" s="170" t="s">
        <v>387</v>
      </c>
      <c r="C43" s="170" t="s">
        <v>388</v>
      </c>
      <c r="D43" s="159" t="s">
        <v>3</v>
      </c>
      <c r="E43" s="159" t="s">
        <v>30</v>
      </c>
      <c r="F43" s="172"/>
      <c r="G43" s="172"/>
      <c r="H43" s="171"/>
      <c r="I43" s="171"/>
      <c r="J43" s="172"/>
      <c r="K43" s="172"/>
      <c r="L43" s="171"/>
      <c r="M43" s="171"/>
      <c r="N43" s="145"/>
      <c r="O43" s="145"/>
    </row>
    <row r="44" spans="1:15" s="3" customFormat="1" x14ac:dyDescent="0.2">
      <c r="A44" s="418"/>
      <c r="B44" s="243"/>
      <c r="C44" s="243"/>
      <c r="D44" s="244" t="s">
        <v>4</v>
      </c>
      <c r="E44" s="153" t="s">
        <v>31</v>
      </c>
      <c r="F44" s="171"/>
      <c r="G44" s="171"/>
      <c r="H44" s="171"/>
      <c r="I44" s="171"/>
      <c r="J44" s="171"/>
      <c r="K44" s="171"/>
      <c r="L44" s="171"/>
      <c r="M44" s="171"/>
      <c r="N44" s="145"/>
      <c r="O44" s="145"/>
    </row>
    <row r="45" spans="1:15" s="3" customFormat="1" ht="15.75" x14ac:dyDescent="0.2">
      <c r="A45" s="14" t="s">
        <v>24</v>
      </c>
      <c r="B45" s="299">
        <v>6932.0169999999998</v>
      </c>
      <c r="C45" s="300">
        <v>6337.4849999999997</v>
      </c>
      <c r="D45" s="410">
        <f t="shared" ref="D45:D46" si="4">IF(B45=0, "    ---- ", IF(ABS(ROUND(100/B45*C45-100,1))&lt;999,ROUND(100/B45*C45-100,1),IF(ROUND(100/B45*C45-100,1)&gt;999,999,-999)))</f>
        <v>-8.6</v>
      </c>
      <c r="E45" s="11">
        <f>IFERROR(100/'Skjema total MA'!C45*C45,0)</f>
        <v>0.18984238020455838</v>
      </c>
      <c r="F45" s="142"/>
      <c r="G45" s="31"/>
      <c r="H45" s="156"/>
      <c r="I45" s="156"/>
      <c r="J45" s="35"/>
      <c r="K45" s="35"/>
      <c r="L45" s="156"/>
      <c r="M45" s="156"/>
      <c r="N45" s="145"/>
      <c r="O45" s="145"/>
    </row>
    <row r="46" spans="1:15" s="3" customFormat="1" ht="15.75" x14ac:dyDescent="0.2">
      <c r="A46" s="36" t="s">
        <v>407</v>
      </c>
      <c r="B46" s="278">
        <v>6932.0169999999998</v>
      </c>
      <c r="C46" s="279">
        <v>6337.4849999999997</v>
      </c>
      <c r="D46" s="253">
        <f t="shared" si="4"/>
        <v>-8.6</v>
      </c>
      <c r="E46" s="25">
        <f>IFERROR(100/'Skjema total MA'!C46*C46,0)</f>
        <v>0.34819689906701229</v>
      </c>
      <c r="F46" s="142"/>
      <c r="G46" s="31"/>
      <c r="H46" s="142"/>
      <c r="I46" s="142"/>
      <c r="J46" s="31"/>
      <c r="K46" s="31"/>
      <c r="L46" s="156"/>
      <c r="M46" s="156"/>
      <c r="N46" s="145"/>
      <c r="O46" s="145"/>
    </row>
    <row r="47" spans="1:15" s="3" customFormat="1" ht="15.75" x14ac:dyDescent="0.2">
      <c r="A47" s="36" t="s">
        <v>408</v>
      </c>
      <c r="B47" s="42"/>
      <c r="C47" s="282"/>
      <c r="D47" s="253"/>
      <c r="E47" s="25"/>
      <c r="F47" s="142"/>
      <c r="G47" s="31"/>
      <c r="H47" s="142"/>
      <c r="I47" s="142"/>
      <c r="J47" s="35"/>
      <c r="K47" s="35"/>
      <c r="L47" s="156"/>
      <c r="M47" s="156"/>
      <c r="N47" s="145"/>
      <c r="O47" s="145"/>
    </row>
    <row r="48" spans="1:15" s="3" customFormat="1" x14ac:dyDescent="0.2">
      <c r="A48" s="652" t="s">
        <v>6</v>
      </c>
      <c r="B48" s="653"/>
      <c r="C48" s="654"/>
      <c r="D48" s="253"/>
      <c r="E48" s="21"/>
      <c r="F48" s="142"/>
      <c r="G48" s="31"/>
      <c r="H48" s="142"/>
      <c r="I48" s="142"/>
      <c r="J48" s="31"/>
      <c r="K48" s="31"/>
      <c r="L48" s="156"/>
      <c r="M48" s="156"/>
      <c r="N48" s="145"/>
      <c r="O48" s="145"/>
    </row>
    <row r="49" spans="1:15" s="3" customFormat="1" x14ac:dyDescent="0.2">
      <c r="A49" s="652" t="s">
        <v>7</v>
      </c>
      <c r="B49" s="653"/>
      <c r="C49" s="654"/>
      <c r="D49" s="253"/>
      <c r="E49" s="21"/>
      <c r="F49" s="142"/>
      <c r="G49" s="31"/>
      <c r="H49" s="142"/>
      <c r="I49" s="142"/>
      <c r="J49" s="31"/>
      <c r="K49" s="31"/>
      <c r="L49" s="156"/>
      <c r="M49" s="156"/>
      <c r="N49" s="145"/>
      <c r="O49" s="145"/>
    </row>
    <row r="50" spans="1:15" s="3" customFormat="1" x14ac:dyDescent="0.2">
      <c r="A50" s="652" t="s">
        <v>8</v>
      </c>
      <c r="B50" s="653"/>
      <c r="C50" s="654"/>
      <c r="D50" s="253"/>
      <c r="E50" s="21"/>
      <c r="F50" s="142"/>
      <c r="G50" s="31"/>
      <c r="H50" s="142"/>
      <c r="I50" s="142"/>
      <c r="J50" s="31"/>
      <c r="K50" s="31"/>
      <c r="L50" s="156"/>
      <c r="M50" s="156"/>
      <c r="N50" s="145"/>
      <c r="O50" s="145"/>
    </row>
    <row r="51" spans="1:15" s="3" customFormat="1" ht="15.75" x14ac:dyDescent="0.2">
      <c r="A51" s="37" t="s">
        <v>409</v>
      </c>
      <c r="B51" s="299"/>
      <c r="C51" s="300"/>
      <c r="D51" s="411"/>
      <c r="E51" s="11"/>
      <c r="F51" s="142"/>
      <c r="G51" s="31"/>
      <c r="H51" s="142"/>
      <c r="I51" s="142"/>
      <c r="J51" s="31"/>
      <c r="K51" s="31"/>
      <c r="L51" s="156"/>
      <c r="M51" s="156"/>
      <c r="N51" s="145"/>
      <c r="O51" s="145"/>
    </row>
    <row r="52" spans="1:15" s="3" customFormat="1" ht="15.75" x14ac:dyDescent="0.2">
      <c r="A52" s="36" t="s">
        <v>407</v>
      </c>
      <c r="B52" s="278"/>
      <c r="C52" s="279"/>
      <c r="D52" s="253"/>
      <c r="E52" s="25"/>
      <c r="F52" s="142"/>
      <c r="G52" s="31"/>
      <c r="H52" s="142"/>
      <c r="I52" s="142"/>
      <c r="J52" s="31"/>
      <c r="K52" s="31"/>
      <c r="L52" s="156"/>
      <c r="M52" s="156"/>
      <c r="N52" s="145"/>
      <c r="O52" s="145"/>
    </row>
    <row r="53" spans="1:15" s="3" customFormat="1" ht="15.75" x14ac:dyDescent="0.2">
      <c r="A53" s="36" t="s">
        <v>408</v>
      </c>
      <c r="B53" s="278"/>
      <c r="C53" s="279"/>
      <c r="D53" s="253"/>
      <c r="E53" s="25"/>
      <c r="F53" s="142"/>
      <c r="G53" s="31"/>
      <c r="H53" s="142"/>
      <c r="I53" s="142"/>
      <c r="J53" s="31"/>
      <c r="K53" s="31"/>
      <c r="L53" s="156"/>
      <c r="M53" s="156"/>
      <c r="N53" s="145"/>
      <c r="O53" s="145"/>
    </row>
    <row r="54" spans="1:15" s="3" customFormat="1" ht="15.75" x14ac:dyDescent="0.2">
      <c r="A54" s="37" t="s">
        <v>410</v>
      </c>
      <c r="B54" s="299"/>
      <c r="C54" s="300"/>
      <c r="D54" s="411"/>
      <c r="E54" s="11"/>
      <c r="F54" s="142"/>
      <c r="G54" s="31"/>
      <c r="H54" s="142"/>
      <c r="I54" s="142"/>
      <c r="J54" s="31"/>
      <c r="K54" s="31"/>
      <c r="L54" s="156"/>
      <c r="M54" s="156"/>
      <c r="N54" s="145"/>
      <c r="O54" s="145"/>
    </row>
    <row r="55" spans="1:15" s="3" customFormat="1" ht="15.75" x14ac:dyDescent="0.2">
      <c r="A55" s="36" t="s">
        <v>407</v>
      </c>
      <c r="B55" s="278"/>
      <c r="C55" s="279"/>
      <c r="D55" s="253"/>
      <c r="E55" s="25"/>
      <c r="F55" s="142"/>
      <c r="G55" s="31"/>
      <c r="H55" s="142"/>
      <c r="I55" s="142"/>
      <c r="J55" s="31"/>
      <c r="K55" s="31"/>
      <c r="L55" s="156"/>
      <c r="M55" s="156"/>
      <c r="N55" s="145"/>
      <c r="O55" s="145"/>
    </row>
    <row r="56" spans="1:15" s="3" customFormat="1" ht="15.75" x14ac:dyDescent="0.2">
      <c r="A56" s="44" t="s">
        <v>408</v>
      </c>
      <c r="B56" s="280"/>
      <c r="C56" s="281"/>
      <c r="D56" s="254"/>
      <c r="E56" s="20"/>
      <c r="F56" s="142"/>
      <c r="G56" s="31"/>
      <c r="H56" s="142"/>
      <c r="I56" s="142"/>
      <c r="J56" s="31"/>
      <c r="K56" s="31"/>
      <c r="L56" s="156"/>
      <c r="M56" s="156"/>
      <c r="N56" s="145"/>
      <c r="O56" s="145"/>
    </row>
    <row r="57" spans="1:15" s="3" customFormat="1" ht="15.75" x14ac:dyDescent="0.25">
      <c r="A57" s="161"/>
      <c r="B57" s="151"/>
      <c r="C57" s="151"/>
      <c r="D57" s="151"/>
      <c r="E57" s="151"/>
      <c r="F57" s="139"/>
      <c r="G57" s="139"/>
      <c r="H57" s="139"/>
      <c r="I57" s="139"/>
      <c r="J57" s="139"/>
      <c r="K57" s="139"/>
      <c r="L57" s="139"/>
      <c r="M57" s="139"/>
      <c r="N57" s="145"/>
      <c r="O57" s="145"/>
    </row>
    <row r="58" spans="1:15" x14ac:dyDescent="0.2">
      <c r="A58" s="152"/>
      <c r="O58" s="145"/>
    </row>
    <row r="59" spans="1:15" ht="15.75" x14ac:dyDescent="0.25">
      <c r="A59" s="144" t="s">
        <v>291</v>
      </c>
      <c r="C59" s="24"/>
      <c r="D59" s="24"/>
      <c r="E59" s="24"/>
      <c r="F59" s="24"/>
      <c r="G59" s="24"/>
      <c r="H59" s="24"/>
      <c r="I59" s="24"/>
      <c r="J59" s="24"/>
      <c r="K59" s="24"/>
      <c r="L59" s="24"/>
      <c r="M59" s="24"/>
      <c r="O59" s="145"/>
    </row>
    <row r="60" spans="1:15" ht="15.75" x14ac:dyDescent="0.25">
      <c r="B60" s="694"/>
      <c r="C60" s="694"/>
      <c r="D60" s="694"/>
      <c r="E60" s="389"/>
      <c r="F60" s="694"/>
      <c r="G60" s="694"/>
      <c r="H60" s="694"/>
      <c r="I60" s="389"/>
      <c r="J60" s="694"/>
      <c r="K60" s="694"/>
      <c r="L60" s="694"/>
      <c r="M60" s="389"/>
      <c r="O60" s="145"/>
    </row>
    <row r="61" spans="1:15" x14ac:dyDescent="0.2">
      <c r="A61" s="141"/>
      <c r="B61" s="690" t="s">
        <v>0</v>
      </c>
      <c r="C61" s="691"/>
      <c r="D61" s="692"/>
      <c r="E61" s="387"/>
      <c r="F61" s="691" t="s">
        <v>1</v>
      </c>
      <c r="G61" s="691"/>
      <c r="H61" s="691"/>
      <c r="I61" s="391"/>
      <c r="J61" s="690" t="s">
        <v>2</v>
      </c>
      <c r="K61" s="691"/>
      <c r="L61" s="691"/>
      <c r="M61" s="391"/>
      <c r="O61" s="145"/>
    </row>
    <row r="62" spans="1:15" x14ac:dyDescent="0.2">
      <c r="A62" s="138"/>
      <c r="B62" s="149" t="s">
        <v>387</v>
      </c>
      <c r="C62" s="149" t="s">
        <v>388</v>
      </c>
      <c r="D62" s="244" t="s">
        <v>3</v>
      </c>
      <c r="E62" s="294" t="s">
        <v>30</v>
      </c>
      <c r="F62" s="149" t="s">
        <v>387</v>
      </c>
      <c r="G62" s="149" t="s">
        <v>388</v>
      </c>
      <c r="H62" s="244" t="s">
        <v>3</v>
      </c>
      <c r="I62" s="294" t="s">
        <v>30</v>
      </c>
      <c r="J62" s="149" t="s">
        <v>387</v>
      </c>
      <c r="K62" s="149" t="s">
        <v>388</v>
      </c>
      <c r="L62" s="244" t="s">
        <v>3</v>
      </c>
      <c r="M62" s="159" t="s">
        <v>30</v>
      </c>
      <c r="O62" s="145"/>
    </row>
    <row r="63" spans="1:15" x14ac:dyDescent="0.2">
      <c r="A63" s="418"/>
      <c r="B63" s="153"/>
      <c r="C63" s="153"/>
      <c r="D63" s="245" t="s">
        <v>4</v>
      </c>
      <c r="E63" s="153" t="s">
        <v>31</v>
      </c>
      <c r="F63" s="158"/>
      <c r="G63" s="158"/>
      <c r="H63" s="244" t="s">
        <v>4</v>
      </c>
      <c r="I63" s="153" t="s">
        <v>31</v>
      </c>
      <c r="J63" s="158"/>
      <c r="K63" s="204"/>
      <c r="L63" s="153" t="s">
        <v>4</v>
      </c>
      <c r="M63" s="153" t="s">
        <v>31</v>
      </c>
      <c r="O63" s="145"/>
    </row>
    <row r="64" spans="1:15" ht="15.75" x14ac:dyDescent="0.2">
      <c r="A64" s="14" t="s">
        <v>24</v>
      </c>
      <c r="B64" s="338">
        <v>81145.248999999996</v>
      </c>
      <c r="C64" s="338">
        <v>77264.937999999995</v>
      </c>
      <c r="D64" s="336">
        <f t="shared" ref="D64:D118" si="5">IF(B64=0, "    ---- ", IF(ABS(ROUND(100/B64*C64-100,1))&lt;999,ROUND(100/B64*C64-100,1),IF(ROUND(100/B64*C64-100,1)&gt;999,999,-999)))</f>
        <v>-4.8</v>
      </c>
      <c r="E64" s="11">
        <f>IFERROR(100/'Skjema total MA'!C64*C64,0)</f>
        <v>1.1383191206237311</v>
      </c>
      <c r="F64" s="337">
        <v>829979.31099999999</v>
      </c>
      <c r="G64" s="337">
        <v>985435.24300000002</v>
      </c>
      <c r="H64" s="336">
        <f t="shared" ref="H64:H123" si="6">IF(F64=0, "    ---- ", IF(ABS(ROUND(100/F64*G64-100,1))&lt;999,ROUND(100/F64*G64-100,1),IF(ROUND(100/F64*G64-100,1)&gt;999,999,-999)))</f>
        <v>18.7</v>
      </c>
      <c r="I64" s="11">
        <f>IFERROR(100/'Skjema total MA'!F64*G64,0)</f>
        <v>5.0060556367600055</v>
      </c>
      <c r="J64" s="298">
        <f t="shared" ref="J64:K66" si="7">SUM(B64,F64)</f>
        <v>911124.55999999994</v>
      </c>
      <c r="K64" s="305">
        <f t="shared" si="7"/>
        <v>1062700.1810000001</v>
      </c>
      <c r="L64" s="411">
        <f t="shared" ref="L64:L123" si="8">IF(J64=0, "    ---- ", IF(ABS(ROUND(100/J64*K64-100,1))&lt;999,ROUND(100/J64*K64-100,1),IF(ROUND(100/J64*K64-100,1)&gt;999,999,-999)))</f>
        <v>16.600000000000001</v>
      </c>
      <c r="M64" s="11">
        <f>IFERROR(100/'Skjema total MA'!I64*K64,0)</f>
        <v>4.014355477287249</v>
      </c>
      <c r="O64" s="145"/>
    </row>
    <row r="65" spans="1:15" x14ac:dyDescent="0.2">
      <c r="A65" s="402" t="s">
        <v>9</v>
      </c>
      <c r="B65" s="42">
        <v>81145.248999999996</v>
      </c>
      <c r="C65" s="142">
        <v>77264.937999999995</v>
      </c>
      <c r="D65" s="163">
        <f t="shared" si="5"/>
        <v>-4.8</v>
      </c>
      <c r="E65" s="25">
        <f>IFERROR(100/'Skjema total MA'!C65*C65,0)</f>
        <v>1.1972926753779063</v>
      </c>
      <c r="F65" s="232"/>
      <c r="G65" s="142"/>
      <c r="H65" s="163"/>
      <c r="I65" s="25"/>
      <c r="J65" s="282">
        <f t="shared" si="7"/>
        <v>81145.248999999996</v>
      </c>
      <c r="K65" s="42">
        <f t="shared" si="7"/>
        <v>77264.937999999995</v>
      </c>
      <c r="L65" s="253">
        <f t="shared" si="8"/>
        <v>-4.8</v>
      </c>
      <c r="M65" s="25">
        <f>IFERROR(100/'Skjema total MA'!I65*K65,0)</f>
        <v>1.1972926753779063</v>
      </c>
      <c r="O65" s="145"/>
    </row>
    <row r="66" spans="1:15" x14ac:dyDescent="0.2">
      <c r="A66" s="19" t="s">
        <v>10</v>
      </c>
      <c r="B66" s="284"/>
      <c r="C66" s="285"/>
      <c r="D66" s="163"/>
      <c r="E66" s="25"/>
      <c r="F66" s="284">
        <v>829979.31099999999</v>
      </c>
      <c r="G66" s="285">
        <v>985435.24300000002</v>
      </c>
      <c r="H66" s="163">
        <f t="shared" si="6"/>
        <v>18.7</v>
      </c>
      <c r="I66" s="25">
        <f>IFERROR(100/'Skjema total MA'!F66*G66,0)</f>
        <v>5.0633192588968416</v>
      </c>
      <c r="J66" s="282">
        <f t="shared" si="7"/>
        <v>829979.31099999999</v>
      </c>
      <c r="K66" s="42">
        <f t="shared" si="7"/>
        <v>985435.24300000002</v>
      </c>
      <c r="L66" s="253">
        <f t="shared" si="8"/>
        <v>18.7</v>
      </c>
      <c r="M66" s="25">
        <f>IFERROR(100/'Skjema total MA'!I66*K66,0)</f>
        <v>5.0276824972322922</v>
      </c>
      <c r="O66" s="145"/>
    </row>
    <row r="67" spans="1:15" ht="15.75" x14ac:dyDescent="0.2">
      <c r="A67" s="652" t="s">
        <v>411</v>
      </c>
      <c r="B67" s="653"/>
      <c r="C67" s="653"/>
      <c r="D67" s="163"/>
      <c r="E67" s="400"/>
      <c r="F67" s="653"/>
      <c r="G67" s="653"/>
      <c r="H67" s="163"/>
      <c r="I67" s="400"/>
      <c r="J67" s="653"/>
      <c r="K67" s="653"/>
      <c r="L67" s="163"/>
      <c r="M67" s="21"/>
      <c r="O67" s="145"/>
    </row>
    <row r="68" spans="1:15" x14ac:dyDescent="0.2">
      <c r="A68" s="652" t="s">
        <v>12</v>
      </c>
      <c r="B68" s="660"/>
      <c r="C68" s="661"/>
      <c r="D68" s="163"/>
      <c r="E68" s="400"/>
      <c r="F68" s="653"/>
      <c r="G68" s="653"/>
      <c r="H68" s="163"/>
      <c r="I68" s="400"/>
      <c r="J68" s="653"/>
      <c r="K68" s="653"/>
      <c r="L68" s="163"/>
      <c r="M68" s="21"/>
      <c r="O68" s="145"/>
    </row>
    <row r="69" spans="1:15" x14ac:dyDescent="0.2">
      <c r="A69" s="652" t="s">
        <v>13</v>
      </c>
      <c r="B69" s="662"/>
      <c r="C69" s="663"/>
      <c r="D69" s="163"/>
      <c r="E69" s="400"/>
      <c r="F69" s="653"/>
      <c r="G69" s="653"/>
      <c r="H69" s="163"/>
      <c r="I69" s="400"/>
      <c r="J69" s="653"/>
      <c r="K69" s="653"/>
      <c r="L69" s="163"/>
      <c r="M69" s="21"/>
      <c r="O69" s="145"/>
    </row>
    <row r="70" spans="1:15" ht="15.75" x14ac:dyDescent="0.2">
      <c r="A70" s="652" t="s">
        <v>412</v>
      </c>
      <c r="B70" s="653"/>
      <c r="C70" s="653"/>
      <c r="D70" s="163"/>
      <c r="E70" s="400"/>
      <c r="F70" s="653"/>
      <c r="G70" s="653"/>
      <c r="H70" s="163"/>
      <c r="I70" s="400"/>
      <c r="J70" s="653"/>
      <c r="K70" s="653"/>
      <c r="L70" s="163"/>
      <c r="M70" s="21"/>
      <c r="O70" s="145"/>
    </row>
    <row r="71" spans="1:15" x14ac:dyDescent="0.2">
      <c r="A71" s="652" t="s">
        <v>12</v>
      </c>
      <c r="B71" s="662"/>
      <c r="C71" s="663"/>
      <c r="D71" s="163"/>
      <c r="E71" s="400"/>
      <c r="F71" s="653"/>
      <c r="G71" s="653"/>
      <c r="H71" s="163"/>
      <c r="I71" s="400"/>
      <c r="J71" s="653"/>
      <c r="K71" s="653"/>
      <c r="L71" s="163"/>
      <c r="M71" s="21"/>
      <c r="O71" s="145"/>
    </row>
    <row r="72" spans="1:15" s="3" customFormat="1" x14ac:dyDescent="0.2">
      <c r="A72" s="652" t="s">
        <v>13</v>
      </c>
      <c r="B72" s="662"/>
      <c r="C72" s="663"/>
      <c r="D72" s="163"/>
      <c r="E72" s="400"/>
      <c r="F72" s="653"/>
      <c r="G72" s="653"/>
      <c r="H72" s="163"/>
      <c r="I72" s="400"/>
      <c r="J72" s="653"/>
      <c r="K72" s="653"/>
      <c r="L72" s="163"/>
      <c r="M72" s="21"/>
      <c r="N72" s="145"/>
      <c r="O72" s="145"/>
    </row>
    <row r="73" spans="1:15" s="3" customFormat="1" x14ac:dyDescent="0.2">
      <c r="A73" s="19" t="s">
        <v>370</v>
      </c>
      <c r="B73" s="232"/>
      <c r="C73" s="142"/>
      <c r="D73" s="163"/>
      <c r="E73" s="25"/>
      <c r="F73" s="232"/>
      <c r="G73" s="142"/>
      <c r="H73" s="163"/>
      <c r="I73" s="25"/>
      <c r="J73" s="282"/>
      <c r="K73" s="42"/>
      <c r="L73" s="253"/>
      <c r="M73" s="25"/>
      <c r="N73" s="145"/>
      <c r="O73" s="145"/>
    </row>
    <row r="74" spans="1:15" s="3" customFormat="1" x14ac:dyDescent="0.2">
      <c r="A74" s="19" t="s">
        <v>369</v>
      </c>
      <c r="B74" s="232"/>
      <c r="C74" s="142"/>
      <c r="D74" s="163"/>
      <c r="E74" s="25"/>
      <c r="F74" s="232"/>
      <c r="G74" s="142"/>
      <c r="H74" s="163"/>
      <c r="I74" s="25"/>
      <c r="J74" s="282"/>
      <c r="K74" s="42"/>
      <c r="L74" s="253"/>
      <c r="M74" s="25"/>
      <c r="N74" s="145"/>
      <c r="O74" s="145"/>
    </row>
    <row r="75" spans="1:15" ht="15.75" x14ac:dyDescent="0.2">
      <c r="A75" s="19" t="s">
        <v>413</v>
      </c>
      <c r="B75" s="232">
        <v>81145.248999999996</v>
      </c>
      <c r="C75" s="232">
        <v>77264.937999999995</v>
      </c>
      <c r="D75" s="163">
        <f t="shared" si="5"/>
        <v>-4.8</v>
      </c>
      <c r="E75" s="25">
        <f>IFERROR(100/'Skjema total MA'!C75*C75,0)</f>
        <v>1.2096497454891</v>
      </c>
      <c r="F75" s="232">
        <v>829979.31099999999</v>
      </c>
      <c r="G75" s="142">
        <v>985435.24300000002</v>
      </c>
      <c r="H75" s="163">
        <f t="shared" si="6"/>
        <v>18.7</v>
      </c>
      <c r="I75" s="25">
        <f>IFERROR(100/'Skjema total MA'!F75*G75,0)</f>
        <v>5.065847752964209</v>
      </c>
      <c r="J75" s="282">
        <f t="shared" ref="J75:K77" si="9">SUM(B75,F75)</f>
        <v>911124.55999999994</v>
      </c>
      <c r="K75" s="42">
        <f t="shared" si="9"/>
        <v>1062700.1810000001</v>
      </c>
      <c r="L75" s="253">
        <f t="shared" si="8"/>
        <v>16.600000000000001</v>
      </c>
      <c r="M75" s="25">
        <f>IFERROR(100/'Skjema total MA'!I75*K75,0)</f>
        <v>4.1126319414681323</v>
      </c>
      <c r="O75" s="145"/>
    </row>
    <row r="76" spans="1:15" x14ac:dyDescent="0.2">
      <c r="A76" s="19" t="s">
        <v>9</v>
      </c>
      <c r="B76" s="232">
        <v>81145.248999999996</v>
      </c>
      <c r="C76" s="142">
        <v>77264.937999999995</v>
      </c>
      <c r="D76" s="163">
        <f t="shared" si="5"/>
        <v>-4.8</v>
      </c>
      <c r="E76" s="25">
        <f>IFERROR(100/'Skjema total MA'!C76*C76,0)</f>
        <v>1.2357351158111991</v>
      </c>
      <c r="F76" s="232">
        <v>0</v>
      </c>
      <c r="G76" s="142">
        <v>0</v>
      </c>
      <c r="H76" s="163" t="str">
        <f t="shared" si="6"/>
        <v xml:space="preserve">    ---- </v>
      </c>
      <c r="I76" s="25">
        <f>IFERROR(100/'Skjema total MA'!F76*G76,0)</f>
        <v>0</v>
      </c>
      <c r="J76" s="282">
        <f t="shared" si="9"/>
        <v>81145.248999999996</v>
      </c>
      <c r="K76" s="42">
        <f t="shared" si="9"/>
        <v>77264.937999999995</v>
      </c>
      <c r="L76" s="253">
        <f t="shared" si="8"/>
        <v>-4.8</v>
      </c>
      <c r="M76" s="25">
        <f>IFERROR(100/'Skjema total MA'!I76*K76,0)</f>
        <v>1.2357351158111991</v>
      </c>
      <c r="O76" s="145"/>
    </row>
    <row r="77" spans="1:15" x14ac:dyDescent="0.2">
      <c r="A77" s="19" t="s">
        <v>10</v>
      </c>
      <c r="B77" s="284">
        <v>0</v>
      </c>
      <c r="C77" s="285">
        <v>0</v>
      </c>
      <c r="D77" s="163" t="str">
        <f t="shared" si="5"/>
        <v xml:space="preserve">    ---- </v>
      </c>
      <c r="E77" s="25">
        <f>IFERROR(100/'Skjema total MA'!C77*C77,0)</f>
        <v>0</v>
      </c>
      <c r="F77" s="284">
        <v>829979.31099999999</v>
      </c>
      <c r="G77" s="285">
        <v>985435.24300000002</v>
      </c>
      <c r="H77" s="163">
        <f t="shared" si="6"/>
        <v>18.7</v>
      </c>
      <c r="I77" s="25">
        <f>IFERROR(100/'Skjema total MA'!F77*G77,0)</f>
        <v>5.065847752964209</v>
      </c>
      <c r="J77" s="282">
        <f t="shared" si="9"/>
        <v>829979.31099999999</v>
      </c>
      <c r="K77" s="42">
        <f t="shared" si="9"/>
        <v>985435.24300000002</v>
      </c>
      <c r="L77" s="253">
        <f t="shared" si="8"/>
        <v>18.7</v>
      </c>
      <c r="M77" s="25">
        <f>IFERROR(100/'Skjema total MA'!I77*K77,0)</f>
        <v>5.0309762432265455</v>
      </c>
      <c r="O77" s="145"/>
    </row>
    <row r="78" spans="1:15" ht="15.75" x14ac:dyDescent="0.2">
      <c r="A78" s="652" t="s">
        <v>411</v>
      </c>
      <c r="B78" s="653"/>
      <c r="C78" s="653"/>
      <c r="D78" s="163"/>
      <c r="E78" s="400"/>
      <c r="F78" s="653"/>
      <c r="G78" s="653"/>
      <c r="H78" s="163"/>
      <c r="I78" s="400"/>
      <c r="J78" s="653"/>
      <c r="K78" s="653"/>
      <c r="L78" s="163"/>
      <c r="M78" s="21"/>
      <c r="O78" s="145"/>
    </row>
    <row r="79" spans="1:15" x14ac:dyDescent="0.2">
      <c r="A79" s="652" t="s">
        <v>12</v>
      </c>
      <c r="B79" s="662"/>
      <c r="C79" s="663"/>
      <c r="D79" s="163"/>
      <c r="E79" s="400"/>
      <c r="F79" s="653"/>
      <c r="G79" s="653"/>
      <c r="H79" s="163"/>
      <c r="I79" s="400"/>
      <c r="J79" s="653"/>
      <c r="K79" s="653"/>
      <c r="L79" s="163"/>
      <c r="M79" s="21"/>
      <c r="O79" s="145"/>
    </row>
    <row r="80" spans="1:15" x14ac:dyDescent="0.2">
      <c r="A80" s="652" t="s">
        <v>13</v>
      </c>
      <c r="B80" s="662"/>
      <c r="C80" s="663"/>
      <c r="D80" s="163"/>
      <c r="E80" s="400"/>
      <c r="F80" s="653"/>
      <c r="G80" s="653"/>
      <c r="H80" s="163"/>
      <c r="I80" s="400"/>
      <c r="J80" s="653"/>
      <c r="K80" s="653"/>
      <c r="L80" s="163"/>
      <c r="M80" s="21"/>
      <c r="O80" s="145"/>
    </row>
    <row r="81" spans="1:15" ht="15.75" x14ac:dyDescent="0.2">
      <c r="A81" s="652" t="s">
        <v>412</v>
      </c>
      <c r="B81" s="653"/>
      <c r="C81" s="653"/>
      <c r="D81" s="163"/>
      <c r="E81" s="400"/>
      <c r="F81" s="653"/>
      <c r="G81" s="653"/>
      <c r="H81" s="163"/>
      <c r="I81" s="400"/>
      <c r="J81" s="653"/>
      <c r="K81" s="653"/>
      <c r="L81" s="163"/>
      <c r="M81" s="21"/>
      <c r="O81" s="145"/>
    </row>
    <row r="82" spans="1:15" x14ac:dyDescent="0.2">
      <c r="A82" s="652" t="s">
        <v>12</v>
      </c>
      <c r="B82" s="662"/>
      <c r="C82" s="663"/>
      <c r="D82" s="163"/>
      <c r="E82" s="400"/>
      <c r="F82" s="653"/>
      <c r="G82" s="653"/>
      <c r="H82" s="163"/>
      <c r="I82" s="400"/>
      <c r="J82" s="653"/>
      <c r="K82" s="653"/>
      <c r="L82" s="163"/>
      <c r="M82" s="21"/>
      <c r="O82" s="145"/>
    </row>
    <row r="83" spans="1:15" x14ac:dyDescent="0.2">
      <c r="A83" s="652" t="s">
        <v>13</v>
      </c>
      <c r="B83" s="662"/>
      <c r="C83" s="663"/>
      <c r="D83" s="163"/>
      <c r="E83" s="400"/>
      <c r="F83" s="653"/>
      <c r="G83" s="653"/>
      <c r="H83" s="163"/>
      <c r="I83" s="400"/>
      <c r="J83" s="653"/>
      <c r="K83" s="653"/>
      <c r="L83" s="163"/>
      <c r="M83" s="21"/>
      <c r="O83" s="145"/>
    </row>
    <row r="84" spans="1:15" ht="15.75" x14ac:dyDescent="0.2">
      <c r="A84" s="19" t="s">
        <v>397</v>
      </c>
      <c r="B84" s="232"/>
      <c r="C84" s="142"/>
      <c r="D84" s="163"/>
      <c r="E84" s="25"/>
      <c r="F84" s="232"/>
      <c r="G84" s="142"/>
      <c r="H84" s="163"/>
      <c r="I84" s="25"/>
      <c r="J84" s="282"/>
      <c r="K84" s="42"/>
      <c r="L84" s="253"/>
      <c r="M84" s="25"/>
      <c r="O84" s="145"/>
    </row>
    <row r="85" spans="1:15" ht="15.75" x14ac:dyDescent="0.2">
      <c r="A85" s="13" t="s">
        <v>398</v>
      </c>
      <c r="B85" s="338">
        <v>518568.28399999999</v>
      </c>
      <c r="C85" s="338">
        <v>600806.35600000003</v>
      </c>
      <c r="D85" s="168">
        <f t="shared" si="5"/>
        <v>15.9</v>
      </c>
      <c r="E85" s="11">
        <f>IFERROR(100/'Skjema total MA'!C85*C85,0)</f>
        <v>0.15992878040499248</v>
      </c>
      <c r="F85" s="337">
        <v>9084791.7229999993</v>
      </c>
      <c r="G85" s="337">
        <v>11497389.625</v>
      </c>
      <c r="H85" s="168">
        <f t="shared" si="6"/>
        <v>26.6</v>
      </c>
      <c r="I85" s="11">
        <f>IFERROR(100/'Skjema total MA'!F85*G85,0)</f>
        <v>5.4612047725628905</v>
      </c>
      <c r="J85" s="298">
        <f t="shared" ref="J85:K109" si="10">SUM(B85,F85)</f>
        <v>9603360.0069999993</v>
      </c>
      <c r="K85" s="234">
        <f t="shared" si="10"/>
        <v>12098195.981000001</v>
      </c>
      <c r="L85" s="411">
        <f t="shared" si="8"/>
        <v>26</v>
      </c>
      <c r="M85" s="11">
        <f>IFERROR(100/'Skjema total MA'!I85*K85,0)</f>
        <v>2.0638354514296933</v>
      </c>
      <c r="O85" s="145"/>
    </row>
    <row r="86" spans="1:15" x14ac:dyDescent="0.2">
      <c r="A86" s="19" t="s">
        <v>9</v>
      </c>
      <c r="B86" s="232">
        <v>518568.28399999999</v>
      </c>
      <c r="C86" s="142">
        <v>600806.35600000003</v>
      </c>
      <c r="D86" s="163">
        <f t="shared" si="5"/>
        <v>15.9</v>
      </c>
      <c r="E86" s="25">
        <f>IFERROR(100/'Skjema total MA'!C86*C86,0)</f>
        <v>0.16114246513485739</v>
      </c>
      <c r="F86" s="232">
        <v>0</v>
      </c>
      <c r="G86" s="142">
        <v>0</v>
      </c>
      <c r="H86" s="163" t="str">
        <f t="shared" si="6"/>
        <v xml:space="preserve">    ---- </v>
      </c>
      <c r="I86" s="25">
        <f>IFERROR(100/'Skjema total MA'!F86*G86,0)</f>
        <v>0</v>
      </c>
      <c r="J86" s="282">
        <f t="shared" si="10"/>
        <v>518568.28399999999</v>
      </c>
      <c r="K86" s="42">
        <f t="shared" si="10"/>
        <v>600806.35600000003</v>
      </c>
      <c r="L86" s="253">
        <f t="shared" si="8"/>
        <v>15.9</v>
      </c>
      <c r="M86" s="25">
        <f>IFERROR(100/'Skjema total MA'!I86*K86,0)</f>
        <v>0.16114246513485739</v>
      </c>
      <c r="O86" s="145"/>
    </row>
    <row r="87" spans="1:15" x14ac:dyDescent="0.2">
      <c r="A87" s="19" t="s">
        <v>10</v>
      </c>
      <c r="B87" s="232">
        <v>0</v>
      </c>
      <c r="C87" s="142">
        <v>0</v>
      </c>
      <c r="D87" s="163" t="str">
        <f t="shared" si="5"/>
        <v xml:space="preserve">    ---- </v>
      </c>
      <c r="E87" s="25">
        <f>IFERROR(100/'Skjema total MA'!C87*C87,0)</f>
        <v>0</v>
      </c>
      <c r="F87" s="232">
        <v>9084791.7229999993</v>
      </c>
      <c r="G87" s="142">
        <v>11497389.625</v>
      </c>
      <c r="H87" s="163">
        <f t="shared" si="6"/>
        <v>26.6</v>
      </c>
      <c r="I87" s="25">
        <f>IFERROR(100/'Skjema total MA'!F87*G87,0)</f>
        <v>5.4772385708241842</v>
      </c>
      <c r="J87" s="282">
        <f t="shared" si="10"/>
        <v>9084791.7229999993</v>
      </c>
      <c r="K87" s="42">
        <f t="shared" si="10"/>
        <v>11497389.625</v>
      </c>
      <c r="L87" s="253">
        <f t="shared" si="8"/>
        <v>26.6</v>
      </c>
      <c r="M87" s="25">
        <f>IFERROR(100/'Skjema total MA'!I87*K87,0)</f>
        <v>5.4127219750973907</v>
      </c>
      <c r="O87" s="145"/>
    </row>
    <row r="88" spans="1:15" ht="15.75" x14ac:dyDescent="0.2">
      <c r="A88" s="652" t="s">
        <v>411</v>
      </c>
      <c r="B88" s="653"/>
      <c r="C88" s="653"/>
      <c r="D88" s="163"/>
      <c r="E88" s="400"/>
      <c r="F88" s="653"/>
      <c r="G88" s="653"/>
      <c r="H88" s="163"/>
      <c r="I88" s="400"/>
      <c r="J88" s="653"/>
      <c r="K88" s="653"/>
      <c r="L88" s="163"/>
      <c r="M88" s="21"/>
      <c r="O88" s="145"/>
    </row>
    <row r="89" spans="1:15" x14ac:dyDescent="0.2">
      <c r="A89" s="652" t="s">
        <v>12</v>
      </c>
      <c r="B89" s="662"/>
      <c r="C89" s="663"/>
      <c r="D89" s="163"/>
      <c r="E89" s="400"/>
      <c r="F89" s="653"/>
      <c r="G89" s="653"/>
      <c r="H89" s="163"/>
      <c r="I89" s="400"/>
      <c r="J89" s="653"/>
      <c r="K89" s="653"/>
      <c r="L89" s="163"/>
      <c r="M89" s="21"/>
      <c r="O89" s="145"/>
    </row>
    <row r="90" spans="1:15" x14ac:dyDescent="0.2">
      <c r="A90" s="652" t="s">
        <v>13</v>
      </c>
      <c r="B90" s="662"/>
      <c r="C90" s="663"/>
      <c r="D90" s="163"/>
      <c r="E90" s="400"/>
      <c r="F90" s="653"/>
      <c r="G90" s="653"/>
      <c r="H90" s="163"/>
      <c r="I90" s="400"/>
      <c r="J90" s="653"/>
      <c r="K90" s="653"/>
      <c r="L90" s="163"/>
      <c r="M90" s="21"/>
      <c r="O90" s="145"/>
    </row>
    <row r="91" spans="1:15" ht="15.75" x14ac:dyDescent="0.2">
      <c r="A91" s="652" t="s">
        <v>412</v>
      </c>
      <c r="B91" s="653"/>
      <c r="C91" s="653"/>
      <c r="D91" s="163"/>
      <c r="E91" s="400"/>
      <c r="F91" s="653"/>
      <c r="G91" s="653"/>
      <c r="H91" s="163"/>
      <c r="I91" s="400"/>
      <c r="J91" s="653"/>
      <c r="K91" s="653"/>
      <c r="L91" s="163"/>
      <c r="M91" s="21"/>
      <c r="O91" s="145"/>
    </row>
    <row r="92" spans="1:15" x14ac:dyDescent="0.2">
      <c r="A92" s="652" t="s">
        <v>12</v>
      </c>
      <c r="B92" s="662"/>
      <c r="C92" s="663"/>
      <c r="D92" s="163"/>
      <c r="E92" s="400"/>
      <c r="F92" s="653"/>
      <c r="G92" s="653"/>
      <c r="H92" s="163"/>
      <c r="I92" s="400"/>
      <c r="J92" s="653"/>
      <c r="K92" s="653"/>
      <c r="L92" s="163"/>
      <c r="M92" s="21"/>
      <c r="O92" s="145"/>
    </row>
    <row r="93" spans="1:15" x14ac:dyDescent="0.2">
      <c r="A93" s="652" t="s">
        <v>13</v>
      </c>
      <c r="B93" s="662"/>
      <c r="C93" s="663"/>
      <c r="D93" s="163"/>
      <c r="E93" s="400"/>
      <c r="F93" s="653"/>
      <c r="G93" s="653"/>
      <c r="H93" s="163"/>
      <c r="I93" s="400"/>
      <c r="J93" s="653"/>
      <c r="K93" s="653"/>
      <c r="L93" s="163"/>
      <c r="M93" s="21"/>
      <c r="O93" s="145"/>
    </row>
    <row r="94" spans="1:15" x14ac:dyDescent="0.2">
      <c r="A94" s="19" t="s">
        <v>370</v>
      </c>
      <c r="B94" s="232"/>
      <c r="C94" s="142"/>
      <c r="D94" s="163"/>
      <c r="E94" s="25"/>
      <c r="F94" s="232"/>
      <c r="G94" s="142"/>
      <c r="H94" s="163"/>
      <c r="I94" s="25"/>
      <c r="J94" s="282"/>
      <c r="K94" s="42"/>
      <c r="L94" s="253"/>
      <c r="M94" s="25"/>
      <c r="O94" s="145"/>
    </row>
    <row r="95" spans="1:15" x14ac:dyDescent="0.2">
      <c r="A95" s="19" t="s">
        <v>369</v>
      </c>
      <c r="B95" s="232"/>
      <c r="C95" s="142"/>
      <c r="D95" s="163"/>
      <c r="E95" s="25"/>
      <c r="F95" s="232"/>
      <c r="G95" s="142"/>
      <c r="H95" s="163"/>
      <c r="I95" s="25"/>
      <c r="J95" s="282"/>
      <c r="K95" s="42"/>
      <c r="L95" s="253"/>
      <c r="M95" s="25"/>
      <c r="O95" s="145"/>
    </row>
    <row r="96" spans="1:15" ht="15.75" x14ac:dyDescent="0.2">
      <c r="A96" s="19" t="s">
        <v>413</v>
      </c>
      <c r="B96" s="232">
        <v>518568.28399999999</v>
      </c>
      <c r="C96" s="232">
        <v>600806.35600000003</v>
      </c>
      <c r="D96" s="163">
        <f t="shared" si="5"/>
        <v>15.9</v>
      </c>
      <c r="E96" s="25">
        <f>IFERROR(100/'Skjema total MA'!C96*C96,0)</f>
        <v>0.16217934842374376</v>
      </c>
      <c r="F96" s="284">
        <v>9084791.7229999993</v>
      </c>
      <c r="G96" s="284">
        <v>11497389.625</v>
      </c>
      <c r="H96" s="163">
        <f t="shared" si="6"/>
        <v>26.6</v>
      </c>
      <c r="I96" s="25">
        <f>IFERROR(100/'Skjema total MA'!F96*G96,0)</f>
        <v>5.4916156867532768</v>
      </c>
      <c r="J96" s="282">
        <f t="shared" si="10"/>
        <v>9603360.0069999993</v>
      </c>
      <c r="K96" s="42">
        <f t="shared" si="10"/>
        <v>12098195.981000001</v>
      </c>
      <c r="L96" s="253">
        <f t="shared" si="8"/>
        <v>26</v>
      </c>
      <c r="M96" s="25">
        <f>IFERROR(100/'Skjema total MA'!I96*K96,0)</f>
        <v>2.086541264139576</v>
      </c>
      <c r="O96" s="145"/>
    </row>
    <row r="97" spans="1:15" x14ac:dyDescent="0.2">
      <c r="A97" s="19" t="s">
        <v>9</v>
      </c>
      <c r="B97" s="284">
        <v>518568.28399999999</v>
      </c>
      <c r="C97" s="285">
        <v>600806.35600000003</v>
      </c>
      <c r="D97" s="163">
        <f t="shared" si="5"/>
        <v>15.9</v>
      </c>
      <c r="E97" s="25">
        <f>IFERROR(100/'Skjema total MA'!C97*C97,0)</f>
        <v>0.16328213895420818</v>
      </c>
      <c r="F97" s="232"/>
      <c r="G97" s="142"/>
      <c r="H97" s="163"/>
      <c r="I97" s="25"/>
      <c r="J97" s="282">
        <f t="shared" si="10"/>
        <v>518568.28399999999</v>
      </c>
      <c r="K97" s="42">
        <f t="shared" si="10"/>
        <v>600806.35600000003</v>
      </c>
      <c r="L97" s="253">
        <f t="shared" si="8"/>
        <v>15.9</v>
      </c>
      <c r="M97" s="25">
        <f>IFERROR(100/'Skjema total MA'!I97*K97,0)</f>
        <v>0.16328213895420818</v>
      </c>
      <c r="O97" s="145"/>
    </row>
    <row r="98" spans="1:15" x14ac:dyDescent="0.2">
      <c r="A98" s="19" t="s">
        <v>10</v>
      </c>
      <c r="B98" s="284"/>
      <c r="C98" s="285"/>
      <c r="D98" s="163"/>
      <c r="E98" s="25"/>
      <c r="F98" s="232">
        <v>9084791.7229999993</v>
      </c>
      <c r="G98" s="232">
        <v>11497389.625</v>
      </c>
      <c r="H98" s="163">
        <f t="shared" si="6"/>
        <v>26.6</v>
      </c>
      <c r="I98" s="25">
        <f>IFERROR(100/'Skjema total MA'!F98*G98,0)</f>
        <v>5.4916156867532768</v>
      </c>
      <c r="J98" s="282">
        <f t="shared" si="10"/>
        <v>9084791.7229999993</v>
      </c>
      <c r="K98" s="42">
        <f t="shared" si="10"/>
        <v>11497389.625</v>
      </c>
      <c r="L98" s="253">
        <f t="shared" si="8"/>
        <v>26.6</v>
      </c>
      <c r="M98" s="25">
        <f>IFERROR(100/'Skjema total MA'!I98*K98,0)</f>
        <v>5.4267619545324184</v>
      </c>
      <c r="O98" s="145"/>
    </row>
    <row r="99" spans="1:15" ht="15.75" x14ac:dyDescent="0.2">
      <c r="A99" s="652" t="s">
        <v>411</v>
      </c>
      <c r="B99" s="653"/>
      <c r="C99" s="653"/>
      <c r="D99" s="163"/>
      <c r="E99" s="400"/>
      <c r="F99" s="653"/>
      <c r="G99" s="653"/>
      <c r="H99" s="163"/>
      <c r="I99" s="400"/>
      <c r="J99" s="653"/>
      <c r="K99" s="653"/>
      <c r="L99" s="163"/>
      <c r="M99" s="21"/>
      <c r="O99" s="145"/>
    </row>
    <row r="100" spans="1:15" x14ac:dyDescent="0.2">
      <c r="A100" s="652" t="s">
        <v>12</v>
      </c>
      <c r="B100" s="662"/>
      <c r="C100" s="663"/>
      <c r="D100" s="163"/>
      <c r="E100" s="400"/>
      <c r="F100" s="653"/>
      <c r="G100" s="653"/>
      <c r="H100" s="163"/>
      <c r="I100" s="400"/>
      <c r="J100" s="653"/>
      <c r="K100" s="653"/>
      <c r="L100" s="163"/>
      <c r="M100" s="21"/>
      <c r="O100" s="145"/>
    </row>
    <row r="101" spans="1:15" x14ac:dyDescent="0.2">
      <c r="A101" s="652" t="s">
        <v>13</v>
      </c>
      <c r="B101" s="662"/>
      <c r="C101" s="663"/>
      <c r="D101" s="163"/>
      <c r="E101" s="400"/>
      <c r="F101" s="653"/>
      <c r="G101" s="653"/>
      <c r="H101" s="163"/>
      <c r="I101" s="400"/>
      <c r="J101" s="653"/>
      <c r="K101" s="653"/>
      <c r="L101" s="163"/>
      <c r="M101" s="21"/>
      <c r="O101" s="145"/>
    </row>
    <row r="102" spans="1:15" ht="15.75" x14ac:dyDescent="0.2">
      <c r="A102" s="652" t="s">
        <v>412</v>
      </c>
      <c r="B102" s="653"/>
      <c r="C102" s="653"/>
      <c r="D102" s="163"/>
      <c r="E102" s="400"/>
      <c r="F102" s="653"/>
      <c r="G102" s="653"/>
      <c r="H102" s="163"/>
      <c r="I102" s="400"/>
      <c r="J102" s="653"/>
      <c r="K102" s="653"/>
      <c r="L102" s="163"/>
      <c r="M102" s="21"/>
      <c r="O102" s="145"/>
    </row>
    <row r="103" spans="1:15" x14ac:dyDescent="0.2">
      <c r="A103" s="652" t="s">
        <v>12</v>
      </c>
      <c r="B103" s="662"/>
      <c r="C103" s="663"/>
      <c r="D103" s="163"/>
      <c r="E103" s="400"/>
      <c r="F103" s="653"/>
      <c r="G103" s="653"/>
      <c r="H103" s="163"/>
      <c r="I103" s="400"/>
      <c r="J103" s="653"/>
      <c r="K103" s="653"/>
      <c r="L103" s="163"/>
      <c r="M103" s="21"/>
      <c r="O103" s="145"/>
    </row>
    <row r="104" spans="1:15" x14ac:dyDescent="0.2">
      <c r="A104" s="652" t="s">
        <v>13</v>
      </c>
      <c r="B104" s="662"/>
      <c r="C104" s="663"/>
      <c r="D104" s="163"/>
      <c r="E104" s="400"/>
      <c r="F104" s="653"/>
      <c r="G104" s="653"/>
      <c r="H104" s="163"/>
      <c r="I104" s="400"/>
      <c r="J104" s="653"/>
      <c r="K104" s="653"/>
      <c r="L104" s="163"/>
      <c r="M104" s="21"/>
      <c r="O104" s="145"/>
    </row>
    <row r="105" spans="1:15" ht="15.75" x14ac:dyDescent="0.2">
      <c r="A105" s="19" t="s">
        <v>397</v>
      </c>
      <c r="B105" s="232"/>
      <c r="C105" s="142"/>
      <c r="D105" s="163"/>
      <c r="E105" s="25"/>
      <c r="F105" s="232"/>
      <c r="G105" s="142"/>
      <c r="H105" s="163"/>
      <c r="I105" s="25"/>
      <c r="J105" s="282"/>
      <c r="K105" s="42"/>
      <c r="L105" s="253"/>
      <c r="M105" s="25"/>
      <c r="O105" s="145"/>
    </row>
    <row r="106" spans="1:15" ht="15.75" x14ac:dyDescent="0.2">
      <c r="A106" s="19" t="s">
        <v>416</v>
      </c>
      <c r="B106" s="232">
        <v>24704.841</v>
      </c>
      <c r="C106" s="232">
        <v>28301.484</v>
      </c>
      <c r="D106" s="163">
        <f t="shared" si="5"/>
        <v>14.6</v>
      </c>
      <c r="E106" s="25">
        <f>IFERROR(100/'Skjema total MA'!C106*C106,0)</f>
        <v>9.5065211405626314E-3</v>
      </c>
      <c r="F106" s="232">
        <v>134163.18900000001</v>
      </c>
      <c r="G106" s="232">
        <v>174835.685</v>
      </c>
      <c r="H106" s="163">
        <f t="shared" si="6"/>
        <v>30.3</v>
      </c>
      <c r="I106" s="25">
        <f>IFERROR(100/'Skjema total MA'!F106*G106,0)</f>
        <v>2.5541438311061091</v>
      </c>
      <c r="J106" s="282">
        <f t="shared" si="10"/>
        <v>158868.03000000003</v>
      </c>
      <c r="K106" s="42">
        <f t="shared" si="10"/>
        <v>203137.16899999999</v>
      </c>
      <c r="L106" s="253">
        <f t="shared" si="8"/>
        <v>27.9</v>
      </c>
      <c r="M106" s="25">
        <f>IFERROR(100/'Skjema total MA'!I106*K106,0)</f>
        <v>6.6700503111170178E-2</v>
      </c>
      <c r="O106" s="145"/>
    </row>
    <row r="107" spans="1:15" ht="15.75" x14ac:dyDescent="0.2">
      <c r="A107" s="19" t="s">
        <v>414</v>
      </c>
      <c r="B107" s="232"/>
      <c r="C107" s="232"/>
      <c r="D107" s="163"/>
      <c r="E107" s="25"/>
      <c r="F107" s="232">
        <v>2313877.1740000001</v>
      </c>
      <c r="G107" s="232">
        <v>4001968.1060000001</v>
      </c>
      <c r="H107" s="163">
        <f t="shared" si="6"/>
        <v>73</v>
      </c>
      <c r="I107" s="25">
        <f>IFERROR(100/'Skjema total MA'!F107*G107,0)</f>
        <v>5.9659069284538555</v>
      </c>
      <c r="J107" s="282">
        <f t="shared" si="10"/>
        <v>2313877.1740000001</v>
      </c>
      <c r="K107" s="42">
        <f t="shared" si="10"/>
        <v>4001968.1060000001</v>
      </c>
      <c r="L107" s="253">
        <f t="shared" si="8"/>
        <v>73</v>
      </c>
      <c r="M107" s="25">
        <f>IFERROR(100/'Skjema total MA'!I107*K107,0)</f>
        <v>5.8982592643337304</v>
      </c>
      <c r="O107" s="145"/>
    </row>
    <row r="108" spans="1:15" ht="15.75" x14ac:dyDescent="0.2">
      <c r="A108" s="19" t="s">
        <v>415</v>
      </c>
      <c r="B108" s="232"/>
      <c r="C108" s="232"/>
      <c r="D108" s="163"/>
      <c r="E108" s="25"/>
      <c r="F108" s="232"/>
      <c r="G108" s="232"/>
      <c r="H108" s="163"/>
      <c r="I108" s="25"/>
      <c r="J108" s="282"/>
      <c r="K108" s="42"/>
      <c r="L108" s="253"/>
      <c r="M108" s="25"/>
      <c r="O108" s="145"/>
    </row>
    <row r="109" spans="1:15" ht="15.75" x14ac:dyDescent="0.2">
      <c r="A109" s="13" t="s">
        <v>399</v>
      </c>
      <c r="B109" s="297">
        <v>24477.59</v>
      </c>
      <c r="C109" s="156">
        <v>15607.153</v>
      </c>
      <c r="D109" s="168">
        <f t="shared" si="5"/>
        <v>-36.200000000000003</v>
      </c>
      <c r="E109" s="11">
        <f>IFERROR(100/'Skjema total MA'!C109*C109,0)</f>
        <v>3.3530915936164809</v>
      </c>
      <c r="F109" s="297">
        <v>417545.77100000001</v>
      </c>
      <c r="G109" s="156">
        <v>586959.42500000005</v>
      </c>
      <c r="H109" s="168">
        <f t="shared" si="6"/>
        <v>40.6</v>
      </c>
      <c r="I109" s="11">
        <f>IFERROR(100/'Skjema total MA'!F109*G109,0)</f>
        <v>7.1426806856917002</v>
      </c>
      <c r="J109" s="298">
        <f t="shared" si="10"/>
        <v>442023.36100000003</v>
      </c>
      <c r="K109" s="234">
        <f t="shared" si="10"/>
        <v>602566.5780000001</v>
      </c>
      <c r="L109" s="411">
        <f t="shared" si="8"/>
        <v>36.299999999999997</v>
      </c>
      <c r="M109" s="11">
        <f>IFERROR(100/'Skjema total MA'!I109*K109,0)</f>
        <v>6.9395403987191928</v>
      </c>
      <c r="O109" s="145"/>
    </row>
    <row r="110" spans="1:15" x14ac:dyDescent="0.2">
      <c r="A110" s="19" t="s">
        <v>9</v>
      </c>
      <c r="B110" s="232">
        <v>24477.59</v>
      </c>
      <c r="C110" s="142">
        <v>15607.153</v>
      </c>
      <c r="D110" s="163">
        <f t="shared" si="5"/>
        <v>-36.200000000000003</v>
      </c>
      <c r="E110" s="25">
        <f>IFERROR(100/'Skjema total MA'!C110*C110,0)</f>
        <v>3.5437961124852833</v>
      </c>
      <c r="F110" s="232">
        <v>0</v>
      </c>
      <c r="G110" s="142">
        <v>0</v>
      </c>
      <c r="H110" s="163" t="str">
        <f t="shared" si="6"/>
        <v xml:space="preserve">    ---- </v>
      </c>
      <c r="I110" s="25">
        <f>IFERROR(100/'Skjema total MA'!F110*G110,0)</f>
        <v>0</v>
      </c>
      <c r="J110" s="282">
        <f t="shared" ref="J110:K123" si="11">SUM(B110,F110)</f>
        <v>24477.59</v>
      </c>
      <c r="K110" s="42">
        <f t="shared" si="11"/>
        <v>15607.153</v>
      </c>
      <c r="L110" s="253">
        <f t="shared" si="8"/>
        <v>-36.200000000000003</v>
      </c>
      <c r="M110" s="25">
        <f>IFERROR(100/'Skjema total MA'!I110*K110,0)</f>
        <v>3.5437961124852833</v>
      </c>
      <c r="O110" s="145"/>
    </row>
    <row r="111" spans="1:15" x14ac:dyDescent="0.2">
      <c r="A111" s="19" t="s">
        <v>10</v>
      </c>
      <c r="B111" s="232"/>
      <c r="C111" s="142"/>
      <c r="D111" s="163"/>
      <c r="E111" s="25"/>
      <c r="F111" s="232">
        <v>417545.77100000001</v>
      </c>
      <c r="G111" s="142">
        <v>586959.42500000005</v>
      </c>
      <c r="H111" s="163">
        <f t="shared" si="6"/>
        <v>40.6</v>
      </c>
      <c r="I111" s="25">
        <f>IFERROR(100/'Skjema total MA'!F111*G111,0)</f>
        <v>7.1426806856917002</v>
      </c>
      <c r="J111" s="282">
        <f t="shared" si="11"/>
        <v>417545.77100000001</v>
      </c>
      <c r="K111" s="42">
        <f t="shared" si="11"/>
        <v>586959.42500000005</v>
      </c>
      <c r="L111" s="253">
        <f t="shared" si="8"/>
        <v>40.6</v>
      </c>
      <c r="M111" s="25">
        <f>IFERROR(100/'Skjema total MA'!I111*K111,0)</f>
        <v>7.1403417601601822</v>
      </c>
      <c r="O111" s="145"/>
    </row>
    <row r="112" spans="1:15" x14ac:dyDescent="0.2">
      <c r="A112" s="19" t="s">
        <v>27</v>
      </c>
      <c r="B112" s="232"/>
      <c r="C112" s="142"/>
      <c r="D112" s="163"/>
      <c r="E112" s="25"/>
      <c r="F112" s="232"/>
      <c r="G112" s="142"/>
      <c r="H112" s="163"/>
      <c r="I112" s="25"/>
      <c r="J112" s="282"/>
      <c r="K112" s="42"/>
      <c r="L112" s="253"/>
      <c r="M112" s="25"/>
      <c r="O112" s="145"/>
    </row>
    <row r="113" spans="1:15" x14ac:dyDescent="0.2">
      <c r="A113" s="652" t="s">
        <v>15</v>
      </c>
      <c r="B113" s="653"/>
      <c r="C113" s="653"/>
      <c r="D113" s="163"/>
      <c r="E113" s="400"/>
      <c r="F113" s="653"/>
      <c r="G113" s="653"/>
      <c r="H113" s="163"/>
      <c r="I113" s="400"/>
      <c r="J113" s="653"/>
      <c r="K113" s="653"/>
      <c r="L113" s="163"/>
      <c r="M113" s="21"/>
      <c r="O113" s="145"/>
    </row>
    <row r="114" spans="1:15" ht="15.75" x14ac:dyDescent="0.2">
      <c r="A114" s="19" t="s">
        <v>416</v>
      </c>
      <c r="B114" s="232">
        <v>10833.856</v>
      </c>
      <c r="C114" s="232">
        <v>3188.77</v>
      </c>
      <c r="D114" s="163">
        <f t="shared" si="5"/>
        <v>-70.599999999999994</v>
      </c>
      <c r="E114" s="25">
        <f>IFERROR(100/'Skjema total MA'!C114*C114,0)</f>
        <v>2.2057308793271972</v>
      </c>
      <c r="F114" s="232">
        <v>55587.006000000001</v>
      </c>
      <c r="G114" s="232">
        <v>15715.843999999999</v>
      </c>
      <c r="H114" s="163">
        <f t="shared" si="6"/>
        <v>-71.7</v>
      </c>
      <c r="I114" s="25">
        <f>IFERROR(100/'Skjema total MA'!F114*G114,0)</f>
        <v>100</v>
      </c>
      <c r="J114" s="282">
        <f t="shared" si="11"/>
        <v>66420.861999999994</v>
      </c>
      <c r="K114" s="42">
        <f t="shared" si="11"/>
        <v>18904.613999999998</v>
      </c>
      <c r="L114" s="253">
        <f t="shared" si="8"/>
        <v>-71.5</v>
      </c>
      <c r="M114" s="25">
        <f>IFERROR(100/'Skjema total MA'!I114*K114,0)</f>
        <v>11.794496838690558</v>
      </c>
      <c r="O114" s="145"/>
    </row>
    <row r="115" spans="1:15" ht="15.75" x14ac:dyDescent="0.2">
      <c r="A115" s="19" t="s">
        <v>414</v>
      </c>
      <c r="B115" s="232"/>
      <c r="C115" s="232"/>
      <c r="D115" s="163"/>
      <c r="E115" s="25"/>
      <c r="F115" s="232">
        <v>48258.256000000001</v>
      </c>
      <c r="G115" s="232">
        <v>73162.513000000006</v>
      </c>
      <c r="H115" s="163">
        <f t="shared" si="6"/>
        <v>51.6</v>
      </c>
      <c r="I115" s="25">
        <f>IFERROR(100/'Skjema total MA'!F115*G115,0)</f>
        <v>5.1169849332254103</v>
      </c>
      <c r="J115" s="282">
        <f t="shared" si="11"/>
        <v>48258.256000000001</v>
      </c>
      <c r="K115" s="42">
        <f t="shared" si="11"/>
        <v>73162.513000000006</v>
      </c>
      <c r="L115" s="253">
        <f t="shared" si="8"/>
        <v>51.6</v>
      </c>
      <c r="M115" s="25">
        <f>IFERROR(100/'Skjema total MA'!I115*K115,0)</f>
        <v>5.1169849332254103</v>
      </c>
      <c r="O115" s="145"/>
    </row>
    <row r="116" spans="1:15" ht="15.75" x14ac:dyDescent="0.2">
      <c r="A116" s="19" t="s">
        <v>415</v>
      </c>
      <c r="B116" s="232"/>
      <c r="C116" s="232"/>
      <c r="D116" s="163"/>
      <c r="E116" s="25"/>
      <c r="F116" s="232"/>
      <c r="G116" s="232"/>
      <c r="H116" s="163"/>
      <c r="I116" s="25"/>
      <c r="J116" s="282"/>
      <c r="K116" s="42"/>
      <c r="L116" s="253"/>
      <c r="M116" s="25"/>
      <c r="O116" s="145"/>
    </row>
    <row r="117" spans="1:15" ht="15.75" x14ac:dyDescent="0.2">
      <c r="A117" s="13" t="s">
        <v>400</v>
      </c>
      <c r="B117" s="297">
        <v>38296.249000000003</v>
      </c>
      <c r="C117" s="156">
        <v>6681.5110000000004</v>
      </c>
      <c r="D117" s="168">
        <f t="shared" si="5"/>
        <v>-82.6</v>
      </c>
      <c r="E117" s="11">
        <f>IFERROR(100/'Skjema total MA'!C117*C117,0)</f>
        <v>1.7716020042933072</v>
      </c>
      <c r="F117" s="297">
        <v>455616.08500000002</v>
      </c>
      <c r="G117" s="156">
        <v>420369.84100000001</v>
      </c>
      <c r="H117" s="168">
        <f t="shared" si="6"/>
        <v>-7.7</v>
      </c>
      <c r="I117" s="11">
        <f>IFERROR(100/'Skjema total MA'!F117*G117,0)</f>
        <v>5.1309721923060136</v>
      </c>
      <c r="J117" s="298">
        <f t="shared" si="11"/>
        <v>493912.33400000003</v>
      </c>
      <c r="K117" s="234">
        <f t="shared" si="11"/>
        <v>427051.35200000001</v>
      </c>
      <c r="L117" s="411">
        <f t="shared" si="8"/>
        <v>-13.5</v>
      </c>
      <c r="M117" s="11">
        <f>IFERROR(100/'Skjema total MA'!I117*K117,0)</f>
        <v>4.9831332694519554</v>
      </c>
      <c r="O117" s="145"/>
    </row>
    <row r="118" spans="1:15" x14ac:dyDescent="0.2">
      <c r="A118" s="19" t="s">
        <v>9</v>
      </c>
      <c r="B118" s="232">
        <v>38296.249000000003</v>
      </c>
      <c r="C118" s="142">
        <v>6681.5110000000004</v>
      </c>
      <c r="D118" s="163">
        <f t="shared" si="5"/>
        <v>-82.6</v>
      </c>
      <c r="E118" s="25">
        <f>IFERROR(100/'Skjema total MA'!C118*C118,0)</f>
        <v>1.9264052968152854</v>
      </c>
      <c r="F118" s="232"/>
      <c r="G118" s="142"/>
      <c r="H118" s="163"/>
      <c r="I118" s="25">
        <f>IFERROR(100/'Skjema total MA'!F118*G118,0)</f>
        <v>0</v>
      </c>
      <c r="J118" s="282">
        <f t="shared" si="11"/>
        <v>38296.249000000003</v>
      </c>
      <c r="K118" s="42">
        <f t="shared" si="11"/>
        <v>6681.5110000000004</v>
      </c>
      <c r="L118" s="253">
        <f t="shared" si="8"/>
        <v>-82.6</v>
      </c>
      <c r="M118" s="25">
        <f>IFERROR(100/'Skjema total MA'!I118*K118,0)</f>
        <v>1.9264052968152854</v>
      </c>
      <c r="O118" s="145"/>
    </row>
    <row r="119" spans="1:15" x14ac:dyDescent="0.2">
      <c r="A119" s="19" t="s">
        <v>10</v>
      </c>
      <c r="B119" s="232"/>
      <c r="C119" s="142"/>
      <c r="D119" s="163"/>
      <c r="E119" s="25"/>
      <c r="F119" s="232">
        <v>455616.08500000002</v>
      </c>
      <c r="G119" s="142">
        <v>420369.84100000001</v>
      </c>
      <c r="H119" s="163">
        <f t="shared" si="6"/>
        <v>-7.7</v>
      </c>
      <c r="I119" s="25">
        <f>IFERROR(100/'Skjema total MA'!F119*G119,0)</f>
        <v>5.1309721923060136</v>
      </c>
      <c r="J119" s="282">
        <f t="shared" si="11"/>
        <v>455616.08500000002</v>
      </c>
      <c r="K119" s="42">
        <f t="shared" si="11"/>
        <v>420369.84100000001</v>
      </c>
      <c r="L119" s="253">
        <f t="shared" si="8"/>
        <v>-7.7</v>
      </c>
      <c r="M119" s="25">
        <f>IFERROR(100/'Skjema total MA'!I119*K119,0)</f>
        <v>5.1164794261506072</v>
      </c>
      <c r="O119" s="145"/>
    </row>
    <row r="120" spans="1:15" x14ac:dyDescent="0.2">
      <c r="A120" s="19" t="s">
        <v>27</v>
      </c>
      <c r="B120" s="232"/>
      <c r="C120" s="142"/>
      <c r="D120" s="163"/>
      <c r="E120" s="25"/>
      <c r="F120" s="232"/>
      <c r="G120" s="142"/>
      <c r="H120" s="163" t="str">
        <f t="shared" si="6"/>
        <v xml:space="preserve">    ---- </v>
      </c>
      <c r="I120" s="25">
        <f>IFERROR(100/'Skjema total MA'!F120*G120,0)</f>
        <v>0</v>
      </c>
      <c r="J120" s="282"/>
      <c r="K120" s="42"/>
      <c r="L120" s="253"/>
      <c r="M120" s="25"/>
      <c r="O120" s="145"/>
    </row>
    <row r="121" spans="1:15" x14ac:dyDescent="0.2">
      <c r="A121" s="652" t="s">
        <v>14</v>
      </c>
      <c r="B121" s="653"/>
      <c r="C121" s="653"/>
      <c r="D121" s="163"/>
      <c r="E121" s="400"/>
      <c r="F121" s="653"/>
      <c r="G121" s="653"/>
      <c r="H121" s="163"/>
      <c r="I121" s="400"/>
      <c r="J121" s="653"/>
      <c r="K121" s="653"/>
      <c r="L121" s="163"/>
      <c r="M121" s="21"/>
      <c r="O121" s="145"/>
    </row>
    <row r="122" spans="1:15" ht="15.75" x14ac:dyDescent="0.2">
      <c r="A122" s="19" t="s">
        <v>416</v>
      </c>
      <c r="B122" s="232"/>
      <c r="C122" s="232"/>
      <c r="D122" s="163"/>
      <c r="E122" s="25"/>
      <c r="F122" s="232">
        <v>0</v>
      </c>
      <c r="G122" s="232">
        <v>854.32100000000003</v>
      </c>
      <c r="H122" s="163" t="str">
        <f t="shared" si="6"/>
        <v xml:space="preserve">    ---- </v>
      </c>
      <c r="I122" s="25">
        <f>IFERROR(100/'Skjema total MA'!F122*G122,0)</f>
        <v>6.609745184842013</v>
      </c>
      <c r="J122" s="282">
        <f t="shared" si="11"/>
        <v>0</v>
      </c>
      <c r="K122" s="42">
        <f t="shared" si="11"/>
        <v>854.32100000000003</v>
      </c>
      <c r="L122" s="253" t="str">
        <f t="shared" si="8"/>
        <v xml:space="preserve">    ---- </v>
      </c>
      <c r="M122" s="25">
        <f>IFERROR(100/'Skjema total MA'!I122*K122,0)</f>
        <v>1.414273813511767</v>
      </c>
      <c r="O122" s="145"/>
    </row>
    <row r="123" spans="1:15" ht="15.75" x14ac:dyDescent="0.2">
      <c r="A123" s="19" t="s">
        <v>414</v>
      </c>
      <c r="B123" s="232"/>
      <c r="C123" s="232"/>
      <c r="D123" s="163"/>
      <c r="E123" s="25"/>
      <c r="F123" s="232">
        <v>60332.999000000003</v>
      </c>
      <c r="G123" s="232">
        <v>104813.59</v>
      </c>
      <c r="H123" s="163">
        <f t="shared" si="6"/>
        <v>73.7</v>
      </c>
      <c r="I123" s="25">
        <f>IFERROR(100/'Skjema total MA'!F123*G123,0)</f>
        <v>7.0647024114859969</v>
      </c>
      <c r="J123" s="282">
        <f t="shared" si="11"/>
        <v>60332.999000000003</v>
      </c>
      <c r="K123" s="42">
        <f t="shared" si="11"/>
        <v>104813.59</v>
      </c>
      <c r="L123" s="253">
        <f t="shared" si="8"/>
        <v>73.7</v>
      </c>
      <c r="M123" s="25">
        <f>IFERROR(100/'Skjema total MA'!I123*K123,0)</f>
        <v>7.0466073425745801</v>
      </c>
      <c r="O123" s="145"/>
    </row>
    <row r="124" spans="1:15" ht="15.75" x14ac:dyDescent="0.2">
      <c r="A124" s="10" t="s">
        <v>415</v>
      </c>
      <c r="B124" s="43"/>
      <c r="C124" s="43"/>
      <c r="D124" s="164"/>
      <c r="E124" s="401"/>
      <c r="F124" s="43"/>
      <c r="G124" s="43"/>
      <c r="H124" s="164"/>
      <c r="I124" s="20"/>
      <c r="J124" s="283"/>
      <c r="K124" s="43"/>
      <c r="L124" s="254"/>
      <c r="M124" s="20"/>
      <c r="O124" s="145"/>
    </row>
    <row r="125" spans="1:15" x14ac:dyDescent="0.2">
      <c r="A125" s="152"/>
      <c r="L125" s="24"/>
      <c r="M125" s="24"/>
      <c r="N125" s="24"/>
    </row>
    <row r="126" spans="1:15" x14ac:dyDescent="0.2">
      <c r="L126" s="24"/>
      <c r="M126" s="24"/>
      <c r="N126" s="24"/>
    </row>
    <row r="127" spans="1:15" ht="15.75" x14ac:dyDescent="0.25">
      <c r="A127" s="162" t="s">
        <v>28</v>
      </c>
    </row>
    <row r="128" spans="1:15" ht="15.75" x14ac:dyDescent="0.25">
      <c r="B128" s="694"/>
      <c r="C128" s="694"/>
      <c r="D128" s="694"/>
      <c r="E128" s="389"/>
      <c r="F128" s="694"/>
      <c r="G128" s="694"/>
      <c r="H128" s="694"/>
      <c r="I128" s="389"/>
      <c r="J128" s="694"/>
      <c r="K128" s="694"/>
      <c r="L128" s="694"/>
      <c r="M128" s="389"/>
    </row>
    <row r="129" spans="1:15" s="3" customFormat="1" x14ac:dyDescent="0.2">
      <c r="A129" s="141"/>
      <c r="B129" s="690" t="s">
        <v>0</v>
      </c>
      <c r="C129" s="691"/>
      <c r="D129" s="691"/>
      <c r="E129" s="388"/>
      <c r="F129" s="690" t="s">
        <v>1</v>
      </c>
      <c r="G129" s="691"/>
      <c r="H129" s="691"/>
      <c r="I129" s="391"/>
      <c r="J129" s="690" t="s">
        <v>2</v>
      </c>
      <c r="K129" s="691"/>
      <c r="L129" s="691"/>
      <c r="M129" s="391"/>
      <c r="N129" s="145"/>
      <c r="O129" s="145"/>
    </row>
    <row r="130" spans="1:15" s="3" customFormat="1" x14ac:dyDescent="0.2">
      <c r="A130" s="138"/>
      <c r="B130" s="149" t="s">
        <v>387</v>
      </c>
      <c r="C130" s="149" t="s">
        <v>388</v>
      </c>
      <c r="D130" s="244" t="s">
        <v>3</v>
      </c>
      <c r="E130" s="294" t="s">
        <v>30</v>
      </c>
      <c r="F130" s="149" t="s">
        <v>387</v>
      </c>
      <c r="G130" s="149" t="s">
        <v>388</v>
      </c>
      <c r="H130" s="204" t="s">
        <v>3</v>
      </c>
      <c r="I130" s="159" t="s">
        <v>30</v>
      </c>
      <c r="J130" s="149" t="s">
        <v>387</v>
      </c>
      <c r="K130" s="149" t="s">
        <v>388</v>
      </c>
      <c r="L130" s="245" t="s">
        <v>3</v>
      </c>
      <c r="M130" s="159" t="s">
        <v>30</v>
      </c>
      <c r="N130" s="145"/>
      <c r="O130" s="145"/>
    </row>
    <row r="131" spans="1:15" s="3" customFormat="1" x14ac:dyDescent="0.2">
      <c r="A131" s="418"/>
      <c r="B131" s="153"/>
      <c r="C131" s="153"/>
      <c r="D131" s="245" t="s">
        <v>4</v>
      </c>
      <c r="E131" s="153" t="s">
        <v>31</v>
      </c>
      <c r="F131" s="158"/>
      <c r="G131" s="158"/>
      <c r="H131" s="204" t="s">
        <v>4</v>
      </c>
      <c r="I131" s="153" t="s">
        <v>31</v>
      </c>
      <c r="J131" s="153"/>
      <c r="K131" s="153"/>
      <c r="L131" s="147" t="s">
        <v>4</v>
      </c>
      <c r="M131" s="153" t="s">
        <v>31</v>
      </c>
      <c r="N131" s="145"/>
      <c r="O131" s="145"/>
    </row>
    <row r="132" spans="1:15" s="3" customFormat="1" ht="15.75" x14ac:dyDescent="0.2">
      <c r="A132" s="14" t="s">
        <v>417</v>
      </c>
      <c r="B132" s="234"/>
      <c r="C132" s="298"/>
      <c r="D132" s="336"/>
      <c r="E132" s="11"/>
      <c r="F132" s="305"/>
      <c r="G132" s="306"/>
      <c r="H132" s="414"/>
      <c r="I132" s="22"/>
      <c r="J132" s="307"/>
      <c r="K132" s="307"/>
      <c r="L132" s="410"/>
      <c r="M132" s="11"/>
      <c r="N132" s="145"/>
      <c r="O132" s="145"/>
    </row>
    <row r="133" spans="1:15" s="3" customFormat="1" ht="15.75" x14ac:dyDescent="0.2">
      <c r="A133" s="13" t="s">
        <v>418</v>
      </c>
      <c r="B133" s="234"/>
      <c r="C133" s="298"/>
      <c r="D133" s="168"/>
      <c r="E133" s="11"/>
      <c r="F133" s="234"/>
      <c r="G133" s="298"/>
      <c r="H133" s="415"/>
      <c r="I133" s="22"/>
      <c r="J133" s="297"/>
      <c r="K133" s="297"/>
      <c r="L133" s="411"/>
      <c r="M133" s="11"/>
      <c r="N133" s="145"/>
      <c r="O133" s="145"/>
    </row>
    <row r="134" spans="1:15" s="3" customFormat="1" ht="15.75" x14ac:dyDescent="0.2">
      <c r="A134" s="13" t="s">
        <v>419</v>
      </c>
      <c r="B134" s="234"/>
      <c r="C134" s="298"/>
      <c r="D134" s="168"/>
      <c r="E134" s="11"/>
      <c r="F134" s="234"/>
      <c r="G134" s="298"/>
      <c r="H134" s="415"/>
      <c r="I134" s="22"/>
      <c r="J134" s="297"/>
      <c r="K134" s="297"/>
      <c r="L134" s="411"/>
      <c r="M134" s="11"/>
      <c r="N134" s="145"/>
      <c r="O134" s="145"/>
    </row>
    <row r="135" spans="1:15" s="3" customFormat="1" ht="15.75" x14ac:dyDescent="0.2">
      <c r="A135" s="39" t="s">
        <v>420</v>
      </c>
      <c r="B135" s="273"/>
      <c r="C135" s="304"/>
      <c r="D135" s="166"/>
      <c r="E135" s="9"/>
      <c r="F135" s="273"/>
      <c r="G135" s="304"/>
      <c r="H135" s="416"/>
      <c r="I135" s="34"/>
      <c r="J135" s="303"/>
      <c r="K135" s="303"/>
      <c r="L135" s="412"/>
      <c r="M135" s="34"/>
      <c r="N135" s="145"/>
      <c r="O135" s="145"/>
    </row>
    <row r="136" spans="1:15" s="3" customFormat="1" x14ac:dyDescent="0.2">
      <c r="A136" s="165"/>
      <c r="B136" s="31"/>
      <c r="C136" s="31"/>
      <c r="D136" s="156"/>
      <c r="E136" s="156"/>
      <c r="F136" s="31"/>
      <c r="G136" s="31"/>
      <c r="H136" s="156"/>
      <c r="I136" s="156"/>
      <c r="J136" s="31"/>
      <c r="K136" s="31"/>
      <c r="L136" s="156"/>
      <c r="M136" s="156"/>
      <c r="N136" s="145"/>
      <c r="O136" s="145"/>
    </row>
    <row r="137" spans="1:15" x14ac:dyDescent="0.2">
      <c r="A137" s="165"/>
      <c r="B137" s="31"/>
      <c r="C137" s="31"/>
      <c r="D137" s="156"/>
      <c r="E137" s="156"/>
      <c r="F137" s="31"/>
      <c r="G137" s="31"/>
      <c r="H137" s="156"/>
      <c r="I137" s="156"/>
      <c r="J137" s="31"/>
      <c r="K137" s="31"/>
      <c r="L137" s="156"/>
      <c r="M137" s="156"/>
      <c r="N137" s="145"/>
      <c r="O137" s="145"/>
    </row>
    <row r="138" spans="1:15" x14ac:dyDescent="0.2">
      <c r="A138" s="165"/>
      <c r="B138" s="31"/>
      <c r="C138" s="31"/>
      <c r="D138" s="156"/>
      <c r="E138" s="156"/>
      <c r="F138" s="31"/>
      <c r="G138" s="31"/>
      <c r="H138" s="156"/>
      <c r="I138" s="156"/>
      <c r="J138" s="31"/>
      <c r="K138" s="31"/>
      <c r="L138" s="156"/>
      <c r="M138" s="156"/>
      <c r="N138" s="145"/>
    </row>
    <row r="139" spans="1:15" x14ac:dyDescent="0.2">
      <c r="A139" s="143"/>
      <c r="B139" s="143"/>
      <c r="C139" s="143"/>
      <c r="D139" s="143"/>
      <c r="E139" s="143"/>
      <c r="F139" s="143"/>
      <c r="G139" s="143"/>
      <c r="H139" s="143"/>
      <c r="I139" s="143"/>
      <c r="J139" s="143"/>
      <c r="K139" s="143"/>
      <c r="L139" s="143"/>
      <c r="M139" s="143"/>
      <c r="N139" s="143"/>
    </row>
    <row r="140" spans="1:15" ht="15.75" x14ac:dyDescent="0.25">
      <c r="B140" s="139"/>
      <c r="C140" s="139"/>
      <c r="D140" s="139"/>
      <c r="E140" s="139"/>
      <c r="F140" s="139"/>
      <c r="G140" s="139"/>
      <c r="H140" s="139"/>
      <c r="I140" s="139"/>
      <c r="J140" s="139"/>
      <c r="K140" s="139"/>
      <c r="L140" s="139"/>
      <c r="M140" s="139"/>
      <c r="N140" s="139"/>
    </row>
    <row r="141" spans="1:15" ht="15.75" x14ac:dyDescent="0.25">
      <c r="B141" s="154"/>
      <c r="C141" s="154"/>
      <c r="D141" s="154"/>
      <c r="E141" s="154"/>
      <c r="F141" s="154"/>
      <c r="G141" s="154"/>
      <c r="H141" s="154"/>
      <c r="I141" s="154"/>
      <c r="J141" s="154"/>
      <c r="K141" s="154"/>
      <c r="L141" s="154"/>
      <c r="M141" s="154"/>
      <c r="N141" s="154"/>
      <c r="O141" s="154"/>
    </row>
    <row r="142" spans="1:15" ht="15.75" x14ac:dyDescent="0.25">
      <c r="B142" s="154"/>
      <c r="C142" s="154"/>
      <c r="D142" s="154"/>
      <c r="E142" s="154"/>
      <c r="F142" s="154"/>
      <c r="G142" s="154"/>
      <c r="H142" s="154"/>
      <c r="I142" s="154"/>
      <c r="J142" s="154"/>
      <c r="K142" s="154"/>
      <c r="L142" s="154"/>
      <c r="M142" s="154"/>
      <c r="N142" s="154"/>
      <c r="O142" s="154"/>
    </row>
  </sheetData>
  <mergeCells count="31">
    <mergeCell ref="B128:D128"/>
    <mergeCell ref="F128:H128"/>
    <mergeCell ref="J128:L128"/>
    <mergeCell ref="B129:D129"/>
    <mergeCell ref="F129:H129"/>
    <mergeCell ref="J129:L129"/>
    <mergeCell ref="B42:D42"/>
    <mergeCell ref="B60:D60"/>
    <mergeCell ref="F60:H60"/>
    <mergeCell ref="J60:L60"/>
    <mergeCell ref="B61:D61"/>
    <mergeCell ref="F61:H61"/>
    <mergeCell ref="J61:L61"/>
    <mergeCell ref="D38:F38"/>
    <mergeCell ref="G38:I38"/>
    <mergeCell ref="J38:L38"/>
    <mergeCell ref="B40:D40"/>
    <mergeCell ref="F40:H40"/>
    <mergeCell ref="J40:L40"/>
    <mergeCell ref="B18:D18"/>
    <mergeCell ref="F18:H18"/>
    <mergeCell ref="J18:L18"/>
    <mergeCell ref="B19:D19"/>
    <mergeCell ref="F19:H19"/>
    <mergeCell ref="J19:L19"/>
    <mergeCell ref="B2:D2"/>
    <mergeCell ref="F2:H2"/>
    <mergeCell ref="J2:L2"/>
    <mergeCell ref="B4:D4"/>
    <mergeCell ref="F4:H4"/>
    <mergeCell ref="J4:L4"/>
  </mergeCells>
  <conditionalFormatting sqref="B48:C50">
    <cfRule type="expression" dxfId="1820" priority="92">
      <formula>kvartal &lt; 4</formula>
    </cfRule>
  </conditionalFormatting>
  <conditionalFormatting sqref="B29">
    <cfRule type="expression" dxfId="1819" priority="91">
      <formula>kvartal &lt; 4</formula>
    </cfRule>
  </conditionalFormatting>
  <conditionalFormatting sqref="B30">
    <cfRule type="expression" dxfId="1818" priority="90">
      <formula>kvartal &lt; 4</formula>
    </cfRule>
  </conditionalFormatting>
  <conditionalFormatting sqref="B31">
    <cfRule type="expression" dxfId="1817" priority="89">
      <formula>kvartal &lt; 4</formula>
    </cfRule>
  </conditionalFormatting>
  <conditionalFormatting sqref="C29">
    <cfRule type="expression" dxfId="1816" priority="88">
      <formula>kvartal &lt; 4</formula>
    </cfRule>
  </conditionalFormatting>
  <conditionalFormatting sqref="C30">
    <cfRule type="expression" dxfId="1815" priority="87">
      <formula>kvartal &lt; 4</formula>
    </cfRule>
  </conditionalFormatting>
  <conditionalFormatting sqref="C31">
    <cfRule type="expression" dxfId="1814" priority="86">
      <formula>kvartal &lt; 4</formula>
    </cfRule>
  </conditionalFormatting>
  <conditionalFormatting sqref="B23:C25">
    <cfRule type="expression" dxfId="1813" priority="85">
      <formula>kvartal &lt; 4</formula>
    </cfRule>
  </conditionalFormatting>
  <conditionalFormatting sqref="F23:G25">
    <cfRule type="expression" dxfId="1812" priority="84">
      <formula>kvartal &lt; 4</formula>
    </cfRule>
  </conditionalFormatting>
  <conditionalFormatting sqref="F29">
    <cfRule type="expression" dxfId="1811" priority="83">
      <formula>kvartal &lt; 4</formula>
    </cfRule>
  </conditionalFormatting>
  <conditionalFormatting sqref="F30">
    <cfRule type="expression" dxfId="1810" priority="82">
      <formula>kvartal &lt; 4</formula>
    </cfRule>
  </conditionalFormatting>
  <conditionalFormatting sqref="F31">
    <cfRule type="expression" dxfId="1809" priority="81">
      <formula>kvartal &lt; 4</formula>
    </cfRule>
  </conditionalFormatting>
  <conditionalFormatting sqref="G29">
    <cfRule type="expression" dxfId="1808" priority="80">
      <formula>kvartal &lt; 4</formula>
    </cfRule>
  </conditionalFormatting>
  <conditionalFormatting sqref="G30">
    <cfRule type="expression" dxfId="1807" priority="79">
      <formula>kvartal &lt; 4</formula>
    </cfRule>
  </conditionalFormatting>
  <conditionalFormatting sqref="G31">
    <cfRule type="expression" dxfId="1806" priority="78">
      <formula>kvartal &lt; 4</formula>
    </cfRule>
  </conditionalFormatting>
  <conditionalFormatting sqref="B26">
    <cfRule type="expression" dxfId="1805" priority="77">
      <formula>kvartal &lt; 4</formula>
    </cfRule>
  </conditionalFormatting>
  <conditionalFormatting sqref="C26">
    <cfRule type="expression" dxfId="1804" priority="76">
      <formula>kvartal &lt; 4</formula>
    </cfRule>
  </conditionalFormatting>
  <conditionalFormatting sqref="F26">
    <cfRule type="expression" dxfId="1803" priority="75">
      <formula>kvartal &lt; 4</formula>
    </cfRule>
  </conditionalFormatting>
  <conditionalFormatting sqref="G26">
    <cfRule type="expression" dxfId="1802" priority="74">
      <formula>kvartal &lt; 4</formula>
    </cfRule>
  </conditionalFormatting>
  <conditionalFormatting sqref="J23:K26">
    <cfRule type="expression" dxfId="1801" priority="73">
      <formula>kvartal &lt; 4</formula>
    </cfRule>
  </conditionalFormatting>
  <conditionalFormatting sqref="J29:K31">
    <cfRule type="expression" dxfId="1800" priority="72">
      <formula>kvartal &lt; 4</formula>
    </cfRule>
  </conditionalFormatting>
  <conditionalFormatting sqref="B67">
    <cfRule type="expression" dxfId="1799" priority="71">
      <formula>kvartal &lt; 4</formula>
    </cfRule>
  </conditionalFormatting>
  <conditionalFormatting sqref="C67">
    <cfRule type="expression" dxfId="1798" priority="70">
      <formula>kvartal &lt; 4</formula>
    </cfRule>
  </conditionalFormatting>
  <conditionalFormatting sqref="B70">
    <cfRule type="expression" dxfId="1797" priority="69">
      <formula>kvartal &lt; 4</formula>
    </cfRule>
  </conditionalFormatting>
  <conditionalFormatting sqref="C70">
    <cfRule type="expression" dxfId="1796" priority="68">
      <formula>kvartal &lt; 4</formula>
    </cfRule>
  </conditionalFormatting>
  <conditionalFormatting sqref="B78">
    <cfRule type="expression" dxfId="1795" priority="67">
      <formula>kvartal &lt; 4</formula>
    </cfRule>
  </conditionalFormatting>
  <conditionalFormatting sqref="C78">
    <cfRule type="expression" dxfId="1794" priority="66">
      <formula>kvartal &lt; 4</formula>
    </cfRule>
  </conditionalFormatting>
  <conditionalFormatting sqref="B81">
    <cfRule type="expression" dxfId="1793" priority="65">
      <formula>kvartal &lt; 4</formula>
    </cfRule>
  </conditionalFormatting>
  <conditionalFormatting sqref="C81">
    <cfRule type="expression" dxfId="1792" priority="64">
      <formula>kvartal &lt; 4</formula>
    </cfRule>
  </conditionalFormatting>
  <conditionalFormatting sqref="B88">
    <cfRule type="expression" dxfId="1791" priority="63">
      <formula>kvartal &lt; 4</formula>
    </cfRule>
  </conditionalFormatting>
  <conditionalFormatting sqref="C88">
    <cfRule type="expression" dxfId="1790" priority="62">
      <formula>kvartal &lt; 4</formula>
    </cfRule>
  </conditionalFormatting>
  <conditionalFormatting sqref="B91">
    <cfRule type="expression" dxfId="1789" priority="61">
      <formula>kvartal &lt; 4</formula>
    </cfRule>
  </conditionalFormatting>
  <conditionalFormatting sqref="C91">
    <cfRule type="expression" dxfId="1788" priority="60">
      <formula>kvartal &lt; 4</formula>
    </cfRule>
  </conditionalFormatting>
  <conditionalFormatting sqref="B99">
    <cfRule type="expression" dxfId="1787" priority="59">
      <formula>kvartal &lt; 4</formula>
    </cfRule>
  </conditionalFormatting>
  <conditionalFormatting sqref="C99">
    <cfRule type="expression" dxfId="1786" priority="58">
      <formula>kvartal &lt; 4</formula>
    </cfRule>
  </conditionalFormatting>
  <conditionalFormatting sqref="B102">
    <cfRule type="expression" dxfId="1785" priority="57">
      <formula>kvartal &lt; 4</formula>
    </cfRule>
  </conditionalFormatting>
  <conditionalFormatting sqref="C102">
    <cfRule type="expression" dxfId="1784" priority="56">
      <formula>kvartal &lt; 4</formula>
    </cfRule>
  </conditionalFormatting>
  <conditionalFormatting sqref="B113">
    <cfRule type="expression" dxfId="1783" priority="55">
      <formula>kvartal &lt; 4</formula>
    </cfRule>
  </conditionalFormatting>
  <conditionalFormatting sqref="C113">
    <cfRule type="expression" dxfId="1782" priority="54">
      <formula>kvartal &lt; 4</formula>
    </cfRule>
  </conditionalFormatting>
  <conditionalFormatting sqref="B121">
    <cfRule type="expression" dxfId="1781" priority="53">
      <formula>kvartal &lt; 4</formula>
    </cfRule>
  </conditionalFormatting>
  <conditionalFormatting sqref="C121">
    <cfRule type="expression" dxfId="1780" priority="52">
      <formula>kvartal &lt; 4</formula>
    </cfRule>
  </conditionalFormatting>
  <conditionalFormatting sqref="F68">
    <cfRule type="expression" dxfId="1779" priority="51">
      <formula>kvartal &lt; 4</formula>
    </cfRule>
  </conditionalFormatting>
  <conditionalFormatting sqref="G68">
    <cfRule type="expression" dxfId="1778" priority="50">
      <formula>kvartal &lt; 4</formula>
    </cfRule>
  </conditionalFormatting>
  <conditionalFormatting sqref="F69:G69">
    <cfRule type="expression" dxfId="1777" priority="49">
      <formula>kvartal &lt; 4</formula>
    </cfRule>
  </conditionalFormatting>
  <conditionalFormatting sqref="F71:G72">
    <cfRule type="expression" dxfId="1776" priority="48">
      <formula>kvartal &lt; 4</formula>
    </cfRule>
  </conditionalFormatting>
  <conditionalFormatting sqref="F79:G80">
    <cfRule type="expression" dxfId="1775" priority="47">
      <formula>kvartal &lt; 4</formula>
    </cfRule>
  </conditionalFormatting>
  <conditionalFormatting sqref="F82:G83">
    <cfRule type="expression" dxfId="1774" priority="46">
      <formula>kvartal &lt; 4</formula>
    </cfRule>
  </conditionalFormatting>
  <conditionalFormatting sqref="F89:G90">
    <cfRule type="expression" dxfId="1773" priority="45">
      <formula>kvartal &lt; 4</formula>
    </cfRule>
  </conditionalFormatting>
  <conditionalFormatting sqref="F92:G93">
    <cfRule type="expression" dxfId="1772" priority="44">
      <formula>kvartal &lt; 4</formula>
    </cfRule>
  </conditionalFormatting>
  <conditionalFormatting sqref="F100:G101">
    <cfRule type="expression" dxfId="1771" priority="43">
      <formula>kvartal &lt; 4</formula>
    </cfRule>
  </conditionalFormatting>
  <conditionalFormatting sqref="F103:G104">
    <cfRule type="expression" dxfId="1770" priority="42">
      <formula>kvartal &lt; 4</formula>
    </cfRule>
  </conditionalFormatting>
  <conditionalFormatting sqref="F113">
    <cfRule type="expression" dxfId="1769" priority="41">
      <formula>kvartal &lt; 4</formula>
    </cfRule>
  </conditionalFormatting>
  <conditionalFormatting sqref="G113">
    <cfRule type="expression" dxfId="1768" priority="40">
      <formula>kvartal &lt; 4</formula>
    </cfRule>
  </conditionalFormatting>
  <conditionalFormatting sqref="F121:G121">
    <cfRule type="expression" dxfId="1767" priority="39">
      <formula>kvartal &lt; 4</formula>
    </cfRule>
  </conditionalFormatting>
  <conditionalFormatting sqref="F67:G67">
    <cfRule type="expression" dxfId="1766" priority="38">
      <formula>kvartal &lt; 4</formula>
    </cfRule>
  </conditionalFormatting>
  <conditionalFormatting sqref="F70:G70">
    <cfRule type="expression" dxfId="1765" priority="37">
      <formula>kvartal &lt; 4</formula>
    </cfRule>
  </conditionalFormatting>
  <conditionalFormatting sqref="F78:G78">
    <cfRule type="expression" dxfId="1764" priority="36">
      <formula>kvartal &lt; 4</formula>
    </cfRule>
  </conditionalFormatting>
  <conditionalFormatting sqref="F81:G81">
    <cfRule type="expression" dxfId="1763" priority="35">
      <formula>kvartal &lt; 4</formula>
    </cfRule>
  </conditionalFormatting>
  <conditionalFormatting sqref="F88:G88">
    <cfRule type="expression" dxfId="1762" priority="34">
      <formula>kvartal &lt; 4</formula>
    </cfRule>
  </conditionalFormatting>
  <conditionalFormatting sqref="F91">
    <cfRule type="expression" dxfId="1761" priority="33">
      <formula>kvartal &lt; 4</formula>
    </cfRule>
  </conditionalFormatting>
  <conditionalFormatting sqref="G91">
    <cfRule type="expression" dxfId="1760" priority="32">
      <formula>kvartal &lt; 4</formula>
    </cfRule>
  </conditionalFormatting>
  <conditionalFormatting sqref="F99">
    <cfRule type="expression" dxfId="1759" priority="31">
      <formula>kvartal &lt; 4</formula>
    </cfRule>
  </conditionalFormatting>
  <conditionalFormatting sqref="G99">
    <cfRule type="expression" dxfId="1758" priority="30">
      <formula>kvartal &lt; 4</formula>
    </cfRule>
  </conditionalFormatting>
  <conditionalFormatting sqref="G102">
    <cfRule type="expression" dxfId="1757" priority="29">
      <formula>kvartal &lt; 4</formula>
    </cfRule>
  </conditionalFormatting>
  <conditionalFormatting sqref="F102">
    <cfRule type="expression" dxfId="1756" priority="28">
      <formula>kvartal &lt; 4</formula>
    </cfRule>
  </conditionalFormatting>
  <conditionalFormatting sqref="J67:K71">
    <cfRule type="expression" dxfId="1755" priority="27">
      <formula>kvartal &lt; 4</formula>
    </cfRule>
  </conditionalFormatting>
  <conditionalFormatting sqref="J72:K72">
    <cfRule type="expression" dxfId="1754" priority="26">
      <formula>kvartal &lt; 4</formula>
    </cfRule>
  </conditionalFormatting>
  <conditionalFormatting sqref="J78:K83">
    <cfRule type="expression" dxfId="1753" priority="25">
      <formula>kvartal &lt; 4</formula>
    </cfRule>
  </conditionalFormatting>
  <conditionalFormatting sqref="J88:K93">
    <cfRule type="expression" dxfId="1752" priority="24">
      <formula>kvartal &lt; 4</formula>
    </cfRule>
  </conditionalFormatting>
  <conditionalFormatting sqref="J99:K104">
    <cfRule type="expression" dxfId="1751" priority="23">
      <formula>kvartal &lt; 4</formula>
    </cfRule>
  </conditionalFormatting>
  <conditionalFormatting sqref="J113:K113">
    <cfRule type="expression" dxfId="1750" priority="22">
      <formula>kvartal &lt; 4</formula>
    </cfRule>
  </conditionalFormatting>
  <conditionalFormatting sqref="J121:K121">
    <cfRule type="expression" dxfId="1749" priority="21">
      <formula>kvartal &lt; 4</formula>
    </cfRule>
  </conditionalFormatting>
  <conditionalFormatting sqref="A23:A25">
    <cfRule type="expression" dxfId="1748" priority="10">
      <formula>kvartal &lt; 4</formula>
    </cfRule>
  </conditionalFormatting>
  <conditionalFormatting sqref="A48:A50">
    <cfRule type="expression" dxfId="1747" priority="9">
      <formula>kvartal &lt; 4</formula>
    </cfRule>
  </conditionalFormatting>
  <conditionalFormatting sqref="A67:A72">
    <cfRule type="expression" dxfId="1746" priority="8">
      <formula>kvartal &lt; 4</formula>
    </cfRule>
  </conditionalFormatting>
  <conditionalFormatting sqref="A113">
    <cfRule type="expression" dxfId="1745" priority="7">
      <formula>kvartal &lt; 4</formula>
    </cfRule>
  </conditionalFormatting>
  <conditionalFormatting sqref="A121">
    <cfRule type="expression" dxfId="1744" priority="6">
      <formula>kvartal &lt; 4</formula>
    </cfRule>
  </conditionalFormatting>
  <conditionalFormatting sqref="A26">
    <cfRule type="expression" dxfId="1743" priority="5">
      <formula>kvartal &lt; 4</formula>
    </cfRule>
  </conditionalFormatting>
  <conditionalFormatting sqref="A29:A31">
    <cfRule type="expression" dxfId="1742" priority="4">
      <formula>kvartal &lt; 4</formula>
    </cfRule>
  </conditionalFormatting>
  <conditionalFormatting sqref="A78:A83">
    <cfRule type="expression" dxfId="1741" priority="3">
      <formula>kvartal &lt; 4</formula>
    </cfRule>
  </conditionalFormatting>
  <conditionalFormatting sqref="A88:A93">
    <cfRule type="expression" dxfId="1740" priority="2">
      <formula>kvartal &lt; 4</formula>
    </cfRule>
  </conditionalFormatting>
  <conditionalFormatting sqref="A99:A104">
    <cfRule type="expression" dxfId="1739" priority="1">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o D A A B Q S w M E F A A C A A g A 8 m l o S 0 u 4 / U i o A A A A + A A A A B I A H A B D b 2 5 m a W c v U G F j a 2 F n Z S 5 4 b W w g o h g A K K A U A A A A A A A A A A A A A A A A A A A A A A A A A A A A h Y 9 B D o I w F E S v Q r q n L Y W I I Z + y c C t q Y m L c V q z Q C M X Q Y r m b C 4 / k F S R R 1 J 3 L m b x J 3 j x u d 8 i G p v a u s j O q 1 S k K M E W e 1 E V 7 V L p M U W 9 P / h x l H D a i O I t S e i O s T T I Y l a L K 2 k t C i H M O u x C 3 X U k Y p Q H Z 5 8 t t U c l G + E o b K 3 Q h 0 W d 1 / L 9 C H H Y v G c 5 w N M N R H D I c s w D I V E O u 9 B d h o z G m Q H 5 K W P S 1 7 T v J 9 c F f r Y F M E c j 7 B X 8 C U E s D B B Q A A g A I A P J p a E 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a W h L d 4 j L t / A A A A B V A Q A A E w A c A E Z v c m 1 1 b G F z L 1 N l Y 3 R p b 2 4 x L m 0 g o h g A K K A U A A A A A A A A A A A A A A A A A A A A A A A A A A A A f Y / B a s J A E I b P L v g O w x 4 k g R D 0 H A K F N C d B F K U t L E v Y m I G m 2 W R 1 d h M s 4 r G P 0 i f x x b q p 0 t J L 5 z I D 8 3 / / P 2 N x 7 2 r T w f b W F 8 m U T Z l 9 V Y Q V P C q n I A W N j o G v t S L V o k N 6 Q q p q v 8 h P e 9 R x 1 h N h 5 5 4 N N a U x T R C e x c r r U v 6 j R y 4 v I j O d 8 z I Z w b f Z s t Y V e o / t U c d j T q k s B t z S Y I 9 6 v u A R c F 0 P R a v 8 J D Y 9 0 n v K 8 5 c 8 A 1 G V R s b i U O A Y X h w I r X d V 9 s 1 0 k k 0 m D 9 d P 8 q 4 c Z r D q 2 x I p 3 p k d n l z w 9 3 h x / S B 5 n l 9 C m P F o x J p B k V P 6 j v 7 P L m / a O w 8 8 4 T J k d f f 7 V v I F U E s B A i 0 A F A A C A A g A 8 m l o S 0 u 4 / U i o A A A A + A A A A B I A A A A A A A A A A A A A A A A A A A A A A E N v b m Z p Z y 9 Q Y W N r Y W d l L n h t b F B L A Q I t A B Q A A g A I A P J p a E s P y u m r p A A A A O k A A A A T A A A A A A A A A A A A A A A A A P Q A A A B b Q 2 9 u d G V u d F 9 U e X B l c 1 0 u e G 1 s U E s B A i 0 A F A A C A A g A 8 m l o S 3 e I y 7 f w A A A A V Q E A A B M A A A A A A A A A A A A A A A A A 5 Q E A A E Z v c m 1 1 b G F z L 1 N l Y 3 R p b 2 4 x L m 1 Q S w U G A A A A A A M A A w D C A A A A I g 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j A s A A A A A A A B q C 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O Y W 1 l V X B k Y X R l Z E F m d G V y R m l s b C I g V m F s d W U 9 I m w w I i A v P j x F b n R y e S B U e X B l P S J G a W x s R W 5 h Y m x l Z C I g V m F s d W U 9 I m w w I i A v P j x F b n R y e S B U e X B l P S J G a W x s V G 9 E Y X R h T W 9 k Z W x F b m F i b G V k I i B W Y W x 1 Z T 0 i b D A i I C 8 + P E V u d H J 5 I F R 5 c G U 9 I k J 1 Z m Z l c k 5 l e H R S Z W Z y Z X N o I i B W Y W x 1 Z T 0 i b D E i I C 8 + P E V u d H J 5 I F R 5 c G U 9 I l J l c 3 V s d F R 5 c G U i I F Z h b H V l P S J z V G F i b G U i I C 8 + P E V u d H J 5 I F R 5 c G U 9 I k Z p b G x l Z E N v b X B s Z X R l U m V z d W x 0 V G 9 X b 3 J r c 2 h l Z X Q i I F Z h b H V l P S J s M S I g L z 4 8 R W 5 0 c n k g V H l w Z T 0 i Q W R k Z W R U b 0 R h d G F N b 2 R l b C I g V m F s d W U 9 I m w w 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T G F z d F V w Z G F 0 Z W Q i I F Z h b H V l P S J k M j A x N y 0 x M S 0 w O F Q x M j o x M T o 1 M S 4 z N z c 1 N D Y z W i I g L z 4 8 R W 5 0 c n k g V H l w Z T 0 i R m l s b E V y c m 9 y Q 2 9 k Z S I g V m F s d W U 9 I n N V b m t u b 3 d u I i A v P j x F b n R y e S B U e X B l P S J G a W x s Q 2 9 s d W 1 u V H l w Z X M i I F Z h b H V l P S J z Q m d J Q 0 F n S U N B Z 1 U 9 I i A v P j x F b n R y e S B U e X B l P S J G a W x s R X J y b 3 J D b 3 V u d C I g V m F s d W U 9 I m w w I i A v P j x F b n R y e S B U e X B l P S J G a W x s Q 2 9 1 b n Q i I F Z h b H V l P S J s O D E 2 N S I g L z 4 8 R W 5 0 c n k g V H l w Z T 0 i R m l s b F N 0 Y X R 1 c y I g V m F s d W U 9 I n N D b 2 1 w b G V 0 Z 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9 F U F X 6 e K G E C Q p o e 6 V X a L i Q A A A A A C A A A A A A A D Z g A A w A A A A B A A A A A M m O g L B 8 f s g I g R f c p 3 6 s 9 T A A A A A A S A A A C g A A A A E A A A A G D A i I 4 J l A 4 Z e D d o 4 Q 7 M D X l Q A A A A w v c r R y m + y J 3 6 m M Z K v K Z s s O N q z t F z x 8 A H S E 0 Z h q b O h m N R U d G M E D i k j M T 0 P c e p W b 5 B S c m B U t W b S 9 f B G R H f w B + w 1 R L A P 0 2 8 x H h P d R b b M 0 4 H n n o U A A A A c 2 F U + n O u p e H N e D O T L 6 P 3 + G j P 2 V o = < / 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2020-123998358-376</_dlc_DocId>
    <_dlc_DocIdUrl xmlns="6edf9311-6556-4af2-85ff-d57844cfe120">
      <Url>https://finansnorge.sharepoint.com/sites/intranett/arkiv/_layouts/15/DocIdRedir.aspx?ID=2020-123998358-376</Url>
      <Description>2020-123998358-376</Description>
    </_dlc_DocIdUrl>
  </documentManagement>
</p:properties>
</file>

<file path=customXml/itemProps1.xml><?xml version="1.0" encoding="utf-8"?>
<ds:datastoreItem xmlns:ds="http://schemas.openxmlformats.org/officeDocument/2006/customXml" ds:itemID="{13960D33-12E7-440D-87D7-162D254418F1}">
  <ds:schemaRefs>
    <ds:schemaRef ds:uri="http://schemas.microsoft.com/DataMashup"/>
  </ds:schemaRefs>
</ds:datastoreItem>
</file>

<file path=customXml/itemProps2.xml><?xml version="1.0" encoding="utf-8"?>
<ds:datastoreItem xmlns:ds="http://schemas.openxmlformats.org/officeDocument/2006/customXml" ds:itemID="{959B855E-D7FF-4B79-9653-7BEC71EE083B}"/>
</file>

<file path=customXml/itemProps3.xml><?xml version="1.0" encoding="utf-8"?>
<ds:datastoreItem xmlns:ds="http://schemas.openxmlformats.org/officeDocument/2006/customXml" ds:itemID="{D276E1E4-FB62-4BB7-BB58-5FCB90C65578}"/>
</file>

<file path=customXml/itemProps4.xml><?xml version="1.0" encoding="utf-8"?>
<ds:datastoreItem xmlns:ds="http://schemas.openxmlformats.org/officeDocument/2006/customXml" ds:itemID="{C3F99DC1-EF82-4FAC-BB02-413FDB942B68}"/>
</file>

<file path=customXml/itemProps5.xml><?xml version="1.0" encoding="utf-8"?>
<ds:datastoreItem xmlns:ds="http://schemas.openxmlformats.org/officeDocument/2006/customXml" ds:itemID="{949A83FD-DC48-4183-9728-CA1EEF4432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4</vt:i4>
      </vt:variant>
    </vt:vector>
  </HeadingPairs>
  <TitlesOfParts>
    <vt:vector size="38"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6</vt:lpstr>
      <vt:lpstr>Tabell 8</vt:lpstr>
      <vt:lpstr>Noter og kommentarer</vt:lpstr>
      <vt:lpstr>'ACE European Group'!Utskriftsområde</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2017-11-15T13:05:01Z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c412e8c9-0be7-4deb-aa04-45423958b3a5</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