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worksheets/sheet11.xml" ContentType="application/vnd.openxmlformats-officedocument.spreadsheetml.worksheet+xml"/>
  <Override PartName="/xl/charts/chart6.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onnections.xml" ContentType="application/vnd.openxmlformats-officedocument.spreadsheetml.connection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O:\Statistikk og analyse\Livstatistikk\Faste statistikker\MA\2019\Q2-2019\Publisert\"/>
    </mc:Choice>
  </mc:AlternateContent>
  <xr:revisionPtr revIDLastSave="0" documentId="13_ncr:1_{FEF1B1BA-DD1B-4502-9C31-27EB352F0FB3}" xr6:coauthVersionLast="41" xr6:coauthVersionMax="41" xr10:uidLastSave="{00000000-0000-0000-0000-000000000000}"/>
  <bookViews>
    <workbookView xWindow="-120" yWindow="-120" windowWidth="29040" windowHeight="15840" tabRatio="835" activeTab="1" xr2:uid="{00000000-000D-0000-FFFF-FFFF00000000}"/>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Danica Pensjonsforsikring" sheetId="18" r:id="rId8"/>
    <sheet name="DNB Livsforsikring" sheetId="13" r:id="rId9"/>
    <sheet name="Eika Forsikring AS" sheetId="19" r:id="rId10"/>
    <sheet name="Frende Livsforsikring" sheetId="20" r:id="rId11"/>
    <sheet name="Frende Skadeforsikring" sheetId="21" r:id="rId12"/>
    <sheet name="Gjensidige Forsikring" sheetId="22" r:id="rId13"/>
    <sheet name="Gjensidige Pensjon" sheetId="23" r:id="rId14"/>
    <sheet name="Handelsbanken Liv" sheetId="24" r:id="rId15"/>
    <sheet name="If Skadeforsikring NUF" sheetId="25" r:id="rId16"/>
    <sheet name="KLP" sheetId="26" r:id="rId17"/>
    <sheet name="KLP Bedriftspensjon AS" sheetId="27" r:id="rId18"/>
    <sheet name="KLP Skadeforsikring AS" sheetId="51" r:id="rId19"/>
    <sheet name="Landbruksforsikring AS" sheetId="40" r:id="rId20"/>
    <sheet name="NEMI Forsikring" sheetId="41" r:id="rId21"/>
    <sheet name="Nordea Liv " sheetId="29" r:id="rId22"/>
    <sheet name="Oslo Pensjonsforsikring" sheetId="34" r:id="rId23"/>
    <sheet name="Protector Forsikring" sheetId="72" r:id="rId24"/>
    <sheet name="SHB Liv" sheetId="35" r:id="rId25"/>
    <sheet name="Sparebank 1" sheetId="33" r:id="rId26"/>
    <sheet name="Storebrand Livsforsikring" sheetId="37" r:id="rId27"/>
    <sheet name="Telenor Forsikring" sheetId="38" r:id="rId28"/>
    <sheet name="Tryg Forsikring" sheetId="39" r:id="rId29"/>
    <sheet name="Tabell 4" sheetId="65" r:id="rId30"/>
    <sheet name="Tabell 6" sheetId="62" r:id="rId31"/>
    <sheet name="Tabell 8" sheetId="74" r:id="rId32"/>
    <sheet name="Noter og kommentarer" sheetId="3" r:id="rId33"/>
  </sheets>
  <externalReferences>
    <externalReference r:id="rId34"/>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20">'NEMI Forsikring'!$A$1:$M$137</definedName>
    <definedName name="_xlnm.Print_Area" localSheetId="32">'Noter og kommentarer'!$A$1:$L$43</definedName>
    <definedName name="_xlnm.Print_Area" localSheetId="6">'Skjema total MA'!$A$1:$J$138</definedName>
    <definedName name="år">#REF!</definedName>
    <definedName name="ÅrFratrekk">#REF!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0" i="20" l="1"/>
  <c r="L23" i="20"/>
  <c r="H32" i="13"/>
  <c r="H31" i="13"/>
  <c r="H30" i="13"/>
  <c r="H33" i="37" l="1"/>
  <c r="H32" i="37"/>
  <c r="H31" i="37"/>
  <c r="H30" i="37"/>
  <c r="D31" i="37"/>
  <c r="D30" i="37"/>
  <c r="D24" i="37"/>
  <c r="D23" i="37"/>
  <c r="H26" i="37"/>
  <c r="H25" i="37"/>
  <c r="H24" i="37"/>
  <c r="H23" i="37"/>
  <c r="H33" i="33"/>
  <c r="H32" i="33"/>
  <c r="H31" i="33"/>
  <c r="H30" i="33"/>
  <c r="D31" i="33"/>
  <c r="D30" i="33"/>
  <c r="H26" i="33"/>
  <c r="H25" i="33"/>
  <c r="H24" i="33"/>
  <c r="H23" i="33"/>
  <c r="D24" i="33"/>
  <c r="D23" i="33"/>
  <c r="H31" i="35"/>
  <c r="H30" i="35"/>
  <c r="H26" i="35"/>
  <c r="H23" i="35"/>
  <c r="H33" i="35"/>
  <c r="L9" i="72"/>
  <c r="D32" i="29"/>
  <c r="D31" i="29"/>
  <c r="D30" i="29"/>
  <c r="H32" i="29"/>
  <c r="H31" i="29"/>
  <c r="H30" i="29"/>
  <c r="D24" i="29"/>
  <c r="D23" i="29"/>
  <c r="H26" i="29"/>
  <c r="H25" i="29"/>
  <c r="H23" i="29"/>
  <c r="L9" i="41"/>
  <c r="L8" i="41"/>
  <c r="D58" i="25"/>
  <c r="D24" i="24"/>
  <c r="D31" i="24"/>
  <c r="H23" i="23"/>
  <c r="H26" i="23"/>
  <c r="H25" i="23"/>
  <c r="H33" i="23"/>
  <c r="H32" i="23"/>
  <c r="H31" i="23"/>
  <c r="H30" i="23"/>
  <c r="H26" i="20"/>
  <c r="H25" i="20"/>
  <c r="H33" i="20"/>
  <c r="H32" i="20"/>
  <c r="D32" i="20"/>
  <c r="D30" i="20"/>
  <c r="D25" i="20"/>
  <c r="D23" i="20"/>
  <c r="H25" i="13"/>
  <c r="H24" i="13"/>
  <c r="H23" i="13"/>
  <c r="D32" i="13"/>
  <c r="D31" i="13"/>
  <c r="D30" i="13"/>
  <c r="D25" i="13"/>
  <c r="D24" i="13"/>
  <c r="D23" i="13"/>
  <c r="H26" i="18"/>
  <c r="H25" i="18"/>
  <c r="H23" i="18"/>
  <c r="H33" i="18"/>
  <c r="H32" i="18"/>
  <c r="H31" i="18"/>
  <c r="H30" i="18"/>
  <c r="F137" i="4"/>
  <c r="F136" i="4"/>
  <c r="E137" i="4"/>
  <c r="E136" i="4"/>
  <c r="C137" i="4"/>
  <c r="C136" i="4"/>
  <c r="C135" i="4"/>
  <c r="C134" i="4"/>
  <c r="B137" i="4"/>
  <c r="B136" i="4"/>
  <c r="B135" i="4"/>
  <c r="B134" i="4"/>
  <c r="F125" i="4"/>
  <c r="F124" i="4"/>
  <c r="F122" i="4"/>
  <c r="F121" i="4"/>
  <c r="F120" i="4"/>
  <c r="F119" i="4"/>
  <c r="F117" i="4"/>
  <c r="F116" i="4"/>
  <c r="F114" i="4"/>
  <c r="F113" i="4"/>
  <c r="F112" i="4"/>
  <c r="F111" i="4"/>
  <c r="F110" i="4"/>
  <c r="F109" i="4"/>
  <c r="F108" i="4"/>
  <c r="F107" i="4"/>
  <c r="F100" i="4"/>
  <c r="F99" i="4"/>
  <c r="F98" i="4"/>
  <c r="F97" i="4"/>
  <c r="F96" i="4"/>
  <c r="F89" i="4"/>
  <c r="F88" i="4"/>
  <c r="F87" i="4"/>
  <c r="F86" i="4"/>
  <c r="F79" i="4"/>
  <c r="F78" i="4"/>
  <c r="F77" i="4"/>
  <c r="F76" i="4"/>
  <c r="F75" i="4"/>
  <c r="F68" i="4"/>
  <c r="F67" i="4"/>
  <c r="F66" i="4"/>
  <c r="E125" i="4"/>
  <c r="E124" i="4"/>
  <c r="E122" i="4"/>
  <c r="E121" i="4"/>
  <c r="G121" i="4" s="1"/>
  <c r="E120" i="4"/>
  <c r="E119" i="4"/>
  <c r="G119" i="4" s="1"/>
  <c r="E117" i="4"/>
  <c r="E116" i="4"/>
  <c r="E114" i="4"/>
  <c r="E113" i="4"/>
  <c r="E112" i="4"/>
  <c r="G112" i="4" s="1"/>
  <c r="E111" i="4"/>
  <c r="G111" i="4" s="1"/>
  <c r="E110" i="4"/>
  <c r="E109" i="4"/>
  <c r="E108" i="4"/>
  <c r="E107" i="4"/>
  <c r="E100" i="4"/>
  <c r="E99" i="4"/>
  <c r="E98" i="4"/>
  <c r="G98" i="4" s="1"/>
  <c r="E97" i="4"/>
  <c r="E96" i="4"/>
  <c r="G96" i="4" s="1"/>
  <c r="E89" i="4"/>
  <c r="E88" i="4"/>
  <c r="E87" i="4"/>
  <c r="E86" i="4"/>
  <c r="E79" i="4"/>
  <c r="G79" i="4" s="1"/>
  <c r="E78" i="4"/>
  <c r="E77" i="4"/>
  <c r="G77" i="4" s="1"/>
  <c r="E76" i="4"/>
  <c r="E75" i="4"/>
  <c r="E68" i="4"/>
  <c r="G68" i="4" s="1"/>
  <c r="E67" i="4"/>
  <c r="E66" i="4"/>
  <c r="C125" i="4"/>
  <c r="C124" i="4"/>
  <c r="C122" i="4"/>
  <c r="C121" i="4"/>
  <c r="C120" i="4"/>
  <c r="C119" i="4"/>
  <c r="C116" i="4"/>
  <c r="C114" i="4"/>
  <c r="C113" i="4"/>
  <c r="C112" i="4"/>
  <c r="C111" i="4"/>
  <c r="C110" i="4"/>
  <c r="C109" i="4"/>
  <c r="C108" i="4"/>
  <c r="C107" i="4"/>
  <c r="C100" i="4"/>
  <c r="C99" i="4"/>
  <c r="C98" i="4"/>
  <c r="C97" i="4"/>
  <c r="C96" i="4"/>
  <c r="C89" i="4"/>
  <c r="C88" i="4"/>
  <c r="C87" i="4"/>
  <c r="C86" i="4"/>
  <c r="C79" i="4"/>
  <c r="C78" i="4"/>
  <c r="C77" i="4"/>
  <c r="C76" i="4"/>
  <c r="C75" i="4"/>
  <c r="C68" i="4"/>
  <c r="C67" i="4"/>
  <c r="C66" i="4"/>
  <c r="B125" i="4"/>
  <c r="B124" i="4"/>
  <c r="B122" i="4"/>
  <c r="B121" i="4"/>
  <c r="B120" i="4"/>
  <c r="B119" i="4"/>
  <c r="B116" i="4"/>
  <c r="B114" i="4"/>
  <c r="B113" i="4"/>
  <c r="B112" i="4"/>
  <c r="B111" i="4"/>
  <c r="B110" i="4"/>
  <c r="B109" i="4"/>
  <c r="B108" i="4"/>
  <c r="B107" i="4"/>
  <c r="B100" i="4"/>
  <c r="B99" i="4"/>
  <c r="B98" i="4"/>
  <c r="B97" i="4"/>
  <c r="B96" i="4"/>
  <c r="B89" i="4"/>
  <c r="B88" i="4"/>
  <c r="B87" i="4"/>
  <c r="B86" i="4"/>
  <c r="B79" i="4"/>
  <c r="B78" i="4"/>
  <c r="B77" i="4"/>
  <c r="B76" i="4"/>
  <c r="B75" i="4"/>
  <c r="B68" i="4"/>
  <c r="B67" i="4"/>
  <c r="B66" i="4"/>
  <c r="C58" i="4"/>
  <c r="E58" i="25" s="1"/>
  <c r="C57" i="4"/>
  <c r="C56" i="4"/>
  <c r="C55" i="4"/>
  <c r="C54" i="4"/>
  <c r="C53" i="4"/>
  <c r="C49" i="4"/>
  <c r="C48" i="4"/>
  <c r="C47" i="4"/>
  <c r="B58" i="4"/>
  <c r="B57" i="4"/>
  <c r="B56" i="4"/>
  <c r="B55" i="4"/>
  <c r="B54" i="4"/>
  <c r="B53" i="4"/>
  <c r="B49" i="4"/>
  <c r="B48" i="4"/>
  <c r="B47" i="4"/>
  <c r="F39" i="4"/>
  <c r="F38" i="4"/>
  <c r="F37" i="4"/>
  <c r="F36" i="4"/>
  <c r="F35" i="4"/>
  <c r="F34" i="4"/>
  <c r="F33" i="4"/>
  <c r="F32" i="4"/>
  <c r="F31" i="4"/>
  <c r="F30" i="4"/>
  <c r="F29" i="4"/>
  <c r="F28" i="4"/>
  <c r="F27" i="4"/>
  <c r="F26" i="4"/>
  <c r="F25" i="4"/>
  <c r="F24" i="4"/>
  <c r="F23" i="4"/>
  <c r="F22" i="4"/>
  <c r="E39" i="4"/>
  <c r="E38" i="4"/>
  <c r="E37" i="4"/>
  <c r="E36" i="4"/>
  <c r="E35" i="4"/>
  <c r="E34" i="4"/>
  <c r="E33" i="4"/>
  <c r="E32" i="4"/>
  <c r="E31" i="4"/>
  <c r="E30" i="4"/>
  <c r="E29" i="4"/>
  <c r="E28" i="4"/>
  <c r="E27" i="4"/>
  <c r="E26" i="4"/>
  <c r="E25" i="4"/>
  <c r="E24" i="4"/>
  <c r="E23" i="4"/>
  <c r="E22" i="4"/>
  <c r="C39" i="4"/>
  <c r="C38" i="4"/>
  <c r="C37" i="4"/>
  <c r="C36" i="4"/>
  <c r="C35" i="4"/>
  <c r="C34" i="4"/>
  <c r="C33" i="4"/>
  <c r="C32" i="4"/>
  <c r="C31" i="4"/>
  <c r="C30" i="4"/>
  <c r="C29" i="4"/>
  <c r="C28" i="4"/>
  <c r="C27" i="4"/>
  <c r="C26" i="4"/>
  <c r="C25" i="4"/>
  <c r="C24" i="4"/>
  <c r="C23" i="4"/>
  <c r="C22" i="4"/>
  <c r="B39" i="4"/>
  <c r="B38" i="4"/>
  <c r="B37" i="4"/>
  <c r="B36" i="4"/>
  <c r="B35" i="4"/>
  <c r="B34" i="4"/>
  <c r="B33" i="4"/>
  <c r="B32" i="4"/>
  <c r="B31" i="4"/>
  <c r="B30" i="4"/>
  <c r="B29" i="4"/>
  <c r="B28" i="4"/>
  <c r="B27" i="4"/>
  <c r="B26" i="4"/>
  <c r="B25" i="4"/>
  <c r="B24" i="4"/>
  <c r="B23" i="4"/>
  <c r="B22" i="4"/>
  <c r="F12" i="4"/>
  <c r="F11" i="4"/>
  <c r="F10" i="4"/>
  <c r="F9" i="4"/>
  <c r="F8" i="4"/>
  <c r="F7" i="4"/>
  <c r="E12" i="4"/>
  <c r="E11" i="4"/>
  <c r="E10" i="4"/>
  <c r="E9" i="4"/>
  <c r="E8" i="4"/>
  <c r="E7" i="4"/>
  <c r="C12" i="4"/>
  <c r="C11" i="4"/>
  <c r="G125" i="4" l="1"/>
  <c r="G87" i="4"/>
  <c r="G107" i="4"/>
  <c r="G116" i="4"/>
  <c r="G113" i="4"/>
  <c r="G75" i="4"/>
  <c r="G89" i="4"/>
  <c r="G109" i="4"/>
  <c r="G108" i="4"/>
  <c r="G117" i="4"/>
  <c r="G86" i="4"/>
  <c r="G100" i="4"/>
  <c r="G114" i="4"/>
  <c r="G124" i="4"/>
  <c r="B12" i="4" l="1"/>
  <c r="B11" i="4"/>
  <c r="AP89" i="62"/>
  <c r="AP87" i="62"/>
  <c r="AP86" i="62"/>
  <c r="AP84" i="62"/>
  <c r="AP83" i="62"/>
  <c r="AP82" i="62"/>
  <c r="AP81" i="62"/>
  <c r="AP78" i="62"/>
  <c r="AP77" i="62"/>
  <c r="AP76" i="62"/>
  <c r="AP75" i="62"/>
  <c r="AP74" i="62"/>
  <c r="AP73" i="62"/>
  <c r="AP71" i="62"/>
  <c r="AP70" i="62"/>
  <c r="AP69" i="62"/>
  <c r="AP68" i="62"/>
  <c r="AP61" i="62"/>
  <c r="AP58" i="62"/>
  <c r="AP57" i="62"/>
  <c r="AP56" i="62"/>
  <c r="AP53" i="62"/>
  <c r="AP52" i="62"/>
  <c r="AP51" i="62"/>
  <c r="AP49" i="62"/>
  <c r="AP48" i="62"/>
  <c r="AP46" i="62"/>
  <c r="AP43" i="62"/>
  <c r="AP42" i="62"/>
  <c r="AP40" i="62"/>
  <c r="AP37" i="62"/>
  <c r="AP36" i="62"/>
  <c r="AP34" i="62"/>
  <c r="AP33" i="62"/>
  <c r="AP26" i="62"/>
  <c r="AP25" i="62"/>
  <c r="AP24" i="62"/>
  <c r="AP23" i="62"/>
  <c r="AP22" i="62"/>
  <c r="AP21" i="62"/>
  <c r="AP18" i="62"/>
  <c r="AP17" i="62"/>
  <c r="AP15" i="62"/>
  <c r="AP14" i="62"/>
  <c r="AO89" i="62"/>
  <c r="AO88" i="62"/>
  <c r="AO87" i="62"/>
  <c r="AO86" i="62"/>
  <c r="AO84" i="62"/>
  <c r="AO83" i="62"/>
  <c r="AO82" i="62"/>
  <c r="AO81" i="62"/>
  <c r="AO78" i="62"/>
  <c r="AO77" i="62"/>
  <c r="AO76" i="62"/>
  <c r="AO75" i="62"/>
  <c r="AO74" i="62"/>
  <c r="AO73" i="62"/>
  <c r="AO71" i="62"/>
  <c r="AO70" i="62"/>
  <c r="AO69" i="62"/>
  <c r="AO68" i="62"/>
  <c r="AO61" i="62"/>
  <c r="AO59" i="62"/>
  <c r="AO58" i="62"/>
  <c r="AO57" i="62"/>
  <c r="AO56" i="62"/>
  <c r="AO55" i="62"/>
  <c r="AO53" i="62"/>
  <c r="AO52" i="62"/>
  <c r="AO51" i="62"/>
  <c r="AO49" i="62"/>
  <c r="AO48" i="62"/>
  <c r="AO46" i="62"/>
  <c r="AO44" i="62"/>
  <c r="AO43" i="62"/>
  <c r="AO42" i="62"/>
  <c r="AO41" i="62"/>
  <c r="AO40" i="62"/>
  <c r="AO37" i="62"/>
  <c r="AO36" i="62"/>
  <c r="AO34" i="62"/>
  <c r="AO33" i="62"/>
  <c r="AO26" i="62"/>
  <c r="AO25" i="62"/>
  <c r="AO24" i="62"/>
  <c r="AO23" i="62"/>
  <c r="AO22" i="62"/>
  <c r="AO21" i="62"/>
  <c r="AO18" i="62"/>
  <c r="AO17" i="62"/>
  <c r="AO15" i="62"/>
  <c r="AO14" i="62"/>
  <c r="AM89" i="62"/>
  <c r="AM87" i="62"/>
  <c r="AM86" i="62"/>
  <c r="AM84" i="62"/>
  <c r="AM83" i="62"/>
  <c r="AM82" i="62"/>
  <c r="AM81" i="62"/>
  <c r="AM78" i="62"/>
  <c r="AM77" i="62"/>
  <c r="AM76" i="62"/>
  <c r="AM75" i="62"/>
  <c r="AM74" i="62"/>
  <c r="AM73" i="62"/>
  <c r="AM71" i="62"/>
  <c r="AM70" i="62"/>
  <c r="AM69" i="62"/>
  <c r="AM68" i="62"/>
  <c r="AM61" i="62"/>
  <c r="AM58" i="62"/>
  <c r="AM57" i="62"/>
  <c r="AM56" i="62"/>
  <c r="AM53" i="62"/>
  <c r="AM52" i="62"/>
  <c r="AM51" i="62"/>
  <c r="AM49" i="62"/>
  <c r="AM48" i="62"/>
  <c r="AM46" i="62"/>
  <c r="AM43" i="62"/>
  <c r="AM42" i="62"/>
  <c r="AM40" i="62"/>
  <c r="AM37" i="62"/>
  <c r="AM36" i="62"/>
  <c r="AM34" i="62"/>
  <c r="AM33" i="62"/>
  <c r="AM26" i="62"/>
  <c r="AM25" i="62"/>
  <c r="AM24" i="62"/>
  <c r="AM23" i="62"/>
  <c r="AM22" i="62"/>
  <c r="AM21" i="62"/>
  <c r="AM18" i="62"/>
  <c r="AM17" i="62"/>
  <c r="AM15" i="62"/>
  <c r="AM14" i="62"/>
  <c r="AL89" i="62"/>
  <c r="AL88" i="62"/>
  <c r="AL87" i="62"/>
  <c r="AL86" i="62"/>
  <c r="AL84" i="62"/>
  <c r="AL83" i="62"/>
  <c r="AL82" i="62"/>
  <c r="AL81" i="62"/>
  <c r="AL78" i="62"/>
  <c r="AL77" i="62"/>
  <c r="AL76" i="62"/>
  <c r="AL75" i="62"/>
  <c r="AL74" i="62"/>
  <c r="AL73" i="62"/>
  <c r="AL71" i="62"/>
  <c r="AL70" i="62"/>
  <c r="AL69" i="62"/>
  <c r="AL68" i="62"/>
  <c r="AL61" i="62"/>
  <c r="AL59" i="62"/>
  <c r="AL58" i="62"/>
  <c r="AL57" i="62"/>
  <c r="AL56" i="62"/>
  <c r="AL55" i="62"/>
  <c r="AL53" i="62"/>
  <c r="AL52" i="62"/>
  <c r="AL51" i="62"/>
  <c r="AL49" i="62"/>
  <c r="AL48" i="62"/>
  <c r="AL46" i="62"/>
  <c r="AL44" i="62"/>
  <c r="AL43" i="62"/>
  <c r="AL42" i="62"/>
  <c r="AL41" i="62"/>
  <c r="AL40" i="62"/>
  <c r="AL37" i="62"/>
  <c r="AL36" i="62"/>
  <c r="AL34" i="62"/>
  <c r="AL33" i="62"/>
  <c r="AL26" i="62"/>
  <c r="AL25" i="62"/>
  <c r="AL24" i="62"/>
  <c r="AL23" i="62"/>
  <c r="AL22" i="62"/>
  <c r="AL21" i="62"/>
  <c r="AL18" i="62"/>
  <c r="AL17" i="62"/>
  <c r="AL15" i="62"/>
  <c r="AL14" i="62"/>
  <c r="AP20" i="65"/>
  <c r="AP17" i="65"/>
  <c r="AP16" i="65"/>
  <c r="AP15" i="65"/>
  <c r="AP13" i="65"/>
  <c r="AP12" i="65"/>
  <c r="AO20" i="65"/>
  <c r="AO17" i="65"/>
  <c r="AO16" i="65"/>
  <c r="AO15" i="65"/>
  <c r="AO13" i="65"/>
  <c r="AO12" i="65"/>
  <c r="AO11" i="65"/>
  <c r="AM44" i="65"/>
  <c r="AM42" i="65"/>
  <c r="AM39" i="65"/>
  <c r="AM38" i="65"/>
  <c r="AM37" i="65"/>
  <c r="AM33" i="65"/>
  <c r="AM32" i="65"/>
  <c r="AM31" i="65"/>
  <c r="AM30" i="65"/>
  <c r="AM28" i="65"/>
  <c r="AM27" i="65"/>
  <c r="AM26" i="65"/>
  <c r="AM25" i="65"/>
  <c r="AM24" i="65"/>
  <c r="AM20" i="65"/>
  <c r="AM17" i="65"/>
  <c r="AM16" i="65"/>
  <c r="AM15" i="65"/>
  <c r="AM13" i="65"/>
  <c r="AM12" i="65"/>
  <c r="AL44" i="65"/>
  <c r="AL42" i="65"/>
  <c r="AL39" i="65"/>
  <c r="AL38" i="65"/>
  <c r="AL37" i="65"/>
  <c r="AL33" i="65"/>
  <c r="AL32" i="65"/>
  <c r="AL31" i="65"/>
  <c r="AL30" i="65"/>
  <c r="AL28" i="65"/>
  <c r="AL27" i="65"/>
  <c r="AL26" i="65"/>
  <c r="AL25" i="65"/>
  <c r="AL24" i="65"/>
  <c r="AL20" i="65"/>
  <c r="AL17" i="65"/>
  <c r="AL16" i="65"/>
  <c r="AL15" i="65"/>
  <c r="AL13" i="65"/>
  <c r="AL12" i="65"/>
  <c r="AL11" i="65"/>
  <c r="AE18" i="74" l="1"/>
  <c r="AE16" i="74"/>
  <c r="AE14" i="74"/>
  <c r="AE12" i="74"/>
  <c r="AE11" i="74"/>
  <c r="X14" i="74" l="1"/>
  <c r="F12" i="74" l="1"/>
  <c r="F11" i="74"/>
  <c r="AG18" i="74" l="1"/>
  <c r="AB18" i="74"/>
  <c r="Y18" i="74"/>
  <c r="AF18" i="74"/>
  <c r="V18" i="74"/>
  <c r="S18" i="74"/>
  <c r="P18" i="74"/>
  <c r="G18" i="74"/>
  <c r="AG16" i="74"/>
  <c r="AF16" i="74"/>
  <c r="AB16" i="74"/>
  <c r="Y16" i="74"/>
  <c r="V16" i="74"/>
  <c r="S16" i="74"/>
  <c r="P16" i="74"/>
  <c r="M16" i="74"/>
  <c r="G16" i="74"/>
  <c r="D16" i="74"/>
  <c r="AH14" i="74"/>
  <c r="AB14" i="74"/>
  <c r="Y14" i="74"/>
  <c r="V14" i="74"/>
  <c r="S14" i="74"/>
  <c r="P14" i="74"/>
  <c r="M14" i="74"/>
  <c r="J14" i="74"/>
  <c r="G14" i="74"/>
  <c r="AH12" i="74"/>
  <c r="AB12" i="74"/>
  <c r="Y12" i="74"/>
  <c r="V12" i="74"/>
  <c r="S12" i="74"/>
  <c r="P12" i="74"/>
  <c r="M12" i="74"/>
  <c r="G12" i="74"/>
  <c r="D12" i="74"/>
  <c r="AH11" i="74"/>
  <c r="AB11" i="74"/>
  <c r="Y11" i="74"/>
  <c r="V11" i="74"/>
  <c r="S11" i="74"/>
  <c r="P11" i="74"/>
  <c r="M11" i="74"/>
  <c r="G11" i="74"/>
  <c r="D11" i="74"/>
  <c r="AH16" i="74" l="1"/>
  <c r="AH18" i="74"/>
  <c r="E134" i="4" l="1"/>
  <c r="F134" i="4"/>
  <c r="E135" i="4"/>
  <c r="F135" i="4"/>
  <c r="H33" i="29" l="1"/>
  <c r="I85" i="62" l="1"/>
  <c r="I79" i="62"/>
  <c r="I55" i="62"/>
  <c r="I50" i="62"/>
  <c r="I39" i="62"/>
  <c r="I35" i="62"/>
  <c r="I45" i="62" s="1"/>
  <c r="I20" i="62"/>
  <c r="I16" i="62"/>
  <c r="I27" i="62" s="1"/>
  <c r="I29" i="62" s="1"/>
  <c r="I40" i="65"/>
  <c r="I21" i="65"/>
  <c r="I14" i="65"/>
  <c r="I34" i="65" s="1"/>
  <c r="I41" i="65" s="1"/>
  <c r="I43" i="65" s="1"/>
  <c r="I45" i="65" s="1"/>
  <c r="I54" i="62" l="1"/>
  <c r="I60" i="62" s="1"/>
  <c r="I62" i="62" s="1"/>
  <c r="I64" i="62" s="1"/>
  <c r="AM55" i="62"/>
  <c r="AP55" i="62"/>
  <c r="I91" i="62"/>
  <c r="U85" i="62" l="1"/>
  <c r="U79" i="62"/>
  <c r="U91" i="62" s="1"/>
  <c r="U50" i="62"/>
  <c r="U60" i="62" s="1"/>
  <c r="U45" i="62"/>
  <c r="U20" i="62"/>
  <c r="U16" i="62"/>
  <c r="U40" i="65"/>
  <c r="U29" i="65"/>
  <c r="U21" i="65"/>
  <c r="U14" i="65"/>
  <c r="U27" i="62" l="1"/>
  <c r="U29" i="62" s="1"/>
  <c r="U62" i="62"/>
  <c r="U34" i="65"/>
  <c r="U41" i="65" s="1"/>
  <c r="U43" i="65" s="1"/>
  <c r="U45" i="65" s="1"/>
  <c r="F88" i="62"/>
  <c r="F85" i="62"/>
  <c r="F79" i="62"/>
  <c r="F54" i="62"/>
  <c r="F50" i="62"/>
  <c r="F39" i="62"/>
  <c r="F35" i="62"/>
  <c r="F20" i="62"/>
  <c r="F16" i="62"/>
  <c r="F40" i="65"/>
  <c r="F29" i="65"/>
  <c r="F21" i="65"/>
  <c r="F14" i="65"/>
  <c r="F34" i="65" s="1"/>
  <c r="F41" i="65" s="1"/>
  <c r="F43" i="65" s="1"/>
  <c r="F45" i="65" s="1"/>
  <c r="U64" i="62" l="1"/>
  <c r="F45" i="62"/>
  <c r="F60" i="62"/>
  <c r="F62" i="62" s="1"/>
  <c r="F91" i="62"/>
  <c r="F27" i="62"/>
  <c r="F29" i="62" s="1"/>
  <c r="C85" i="62"/>
  <c r="C79" i="62"/>
  <c r="C59" i="62"/>
  <c r="C50" i="62"/>
  <c r="C39" i="62"/>
  <c r="C35" i="62"/>
  <c r="C28" i="62"/>
  <c r="C20" i="62"/>
  <c r="C16" i="62"/>
  <c r="C40" i="65"/>
  <c r="C23" i="65"/>
  <c r="C19" i="65"/>
  <c r="C11" i="65"/>
  <c r="C27" i="62" l="1"/>
  <c r="C54" i="62"/>
  <c r="C21" i="65"/>
  <c r="C29" i="65"/>
  <c r="C14" i="65"/>
  <c r="AP11" i="65"/>
  <c r="AM11" i="65"/>
  <c r="C45" i="62"/>
  <c r="C91" i="62"/>
  <c r="F64" i="62"/>
  <c r="C60" i="62"/>
  <c r="R85" i="62"/>
  <c r="R79" i="62"/>
  <c r="R54" i="62"/>
  <c r="R50" i="62"/>
  <c r="R39" i="62"/>
  <c r="R35" i="62"/>
  <c r="R20" i="62"/>
  <c r="R16" i="62"/>
  <c r="R40" i="65"/>
  <c r="R29" i="65"/>
  <c r="R21" i="65"/>
  <c r="R14" i="65"/>
  <c r="C29" i="62" l="1"/>
  <c r="C62" i="62"/>
  <c r="C34" i="65"/>
  <c r="R45" i="62"/>
  <c r="R91" i="62"/>
  <c r="R34" i="65"/>
  <c r="R41" i="65" s="1"/>
  <c r="R43" i="65" s="1"/>
  <c r="R45" i="65" s="1"/>
  <c r="R60" i="62"/>
  <c r="R27" i="62"/>
  <c r="R29" i="62" s="1"/>
  <c r="AA88" i="62"/>
  <c r="AA85" i="62"/>
  <c r="AA79" i="62"/>
  <c r="AA54" i="62"/>
  <c r="AA50" i="62"/>
  <c r="AA39" i="62"/>
  <c r="AA35" i="62"/>
  <c r="AA28" i="62"/>
  <c r="AA20" i="62"/>
  <c r="AA16" i="62"/>
  <c r="AA40" i="65"/>
  <c r="AA29" i="65"/>
  <c r="AA21" i="65"/>
  <c r="AA14" i="65"/>
  <c r="C64" i="62" l="1"/>
  <c r="AM88" i="62"/>
  <c r="AP88" i="62"/>
  <c r="R62" i="62"/>
  <c r="R64" i="62" s="1"/>
  <c r="AA91" i="62"/>
  <c r="C41" i="65"/>
  <c r="AA27" i="62"/>
  <c r="AA29" i="62" s="1"/>
  <c r="AA34" i="65"/>
  <c r="AA41" i="65" s="1"/>
  <c r="AA43" i="65" s="1"/>
  <c r="AA45" i="65" s="1"/>
  <c r="AA60" i="62"/>
  <c r="AA45" i="62"/>
  <c r="X85" i="62"/>
  <c r="X79" i="62"/>
  <c r="X54" i="62"/>
  <c r="X50" i="62"/>
  <c r="X39" i="62"/>
  <c r="X35" i="62"/>
  <c r="X20" i="62"/>
  <c r="X16" i="62"/>
  <c r="X27" i="62" s="1"/>
  <c r="X29" i="62" s="1"/>
  <c r="W43" i="65"/>
  <c r="W45" i="65" s="1"/>
  <c r="X40" i="65"/>
  <c r="X29" i="65"/>
  <c r="X21" i="65"/>
  <c r="X14" i="65"/>
  <c r="C43" i="65" l="1"/>
  <c r="X60" i="62"/>
  <c r="AA62" i="62"/>
  <c r="AA64" i="62" s="1"/>
  <c r="X34" i="65"/>
  <c r="X41" i="65" s="1"/>
  <c r="X43" i="65" s="1"/>
  <c r="X45" i="65" s="1"/>
  <c r="X91" i="62"/>
  <c r="X45" i="62"/>
  <c r="P73" i="62"/>
  <c r="P25" i="62"/>
  <c r="AE25" i="62"/>
  <c r="AD85" i="62"/>
  <c r="AD91" i="62" s="1"/>
  <c r="AD54" i="62"/>
  <c r="AD60" i="62" s="1"/>
  <c r="AD62" i="62" s="1"/>
  <c r="AD20" i="62"/>
  <c r="AE20" i="62" s="1"/>
  <c r="O79" i="62"/>
  <c r="O91" i="62" s="1"/>
  <c r="O20" i="62"/>
  <c r="O27" i="62" s="1"/>
  <c r="O29" i="62" s="1"/>
  <c r="O40" i="65"/>
  <c r="O29" i="65"/>
  <c r="O21" i="65"/>
  <c r="O14" i="65"/>
  <c r="AD40" i="65"/>
  <c r="AD29" i="65"/>
  <c r="AD21" i="65"/>
  <c r="AD14" i="65"/>
  <c r="X62" i="62" l="1"/>
  <c r="X64" i="62" s="1"/>
  <c r="C45" i="65"/>
  <c r="AD27" i="62"/>
  <c r="AD29" i="62" s="1"/>
  <c r="O34" i="65"/>
  <c r="O41" i="65" s="1"/>
  <c r="O43" i="65" s="1"/>
  <c r="O45" i="65" s="1"/>
  <c r="AD34" i="65"/>
  <c r="AD41" i="65" s="1"/>
  <c r="AD43" i="65" s="1"/>
  <c r="AD45" i="65" s="1"/>
  <c r="O64" i="62"/>
  <c r="AD64" i="62"/>
  <c r="L85" i="62"/>
  <c r="K85" i="62"/>
  <c r="L79" i="62"/>
  <c r="K79" i="62"/>
  <c r="L59" i="62"/>
  <c r="K54" i="62"/>
  <c r="L50" i="62"/>
  <c r="K50" i="62"/>
  <c r="L44" i="62"/>
  <c r="K39" i="62"/>
  <c r="L35" i="62"/>
  <c r="K35" i="62"/>
  <c r="L28" i="62"/>
  <c r="K28" i="62"/>
  <c r="L20" i="62"/>
  <c r="K20" i="62"/>
  <c r="L16" i="62"/>
  <c r="K16" i="62"/>
  <c r="L40" i="65"/>
  <c r="K40" i="65"/>
  <c r="L23" i="65"/>
  <c r="K23" i="65"/>
  <c r="L19" i="65"/>
  <c r="K19" i="65"/>
  <c r="L14" i="65"/>
  <c r="K14" i="65"/>
  <c r="L54" i="62" l="1"/>
  <c r="AM59" i="62"/>
  <c r="AP59" i="62"/>
  <c r="L39" i="62"/>
  <c r="AM44" i="62"/>
  <c r="AP44" i="62"/>
  <c r="L21" i="65"/>
  <c r="K21" i="65"/>
  <c r="K29" i="65"/>
  <c r="AL23" i="65"/>
  <c r="L29" i="65"/>
  <c r="AM23" i="65"/>
  <c r="AE27" i="62"/>
  <c r="L45" i="62"/>
  <c r="K91" i="62"/>
  <c r="L27" i="62"/>
  <c r="K60" i="62"/>
  <c r="K45" i="62"/>
  <c r="L91" i="62"/>
  <c r="L60" i="62"/>
  <c r="K27" i="62"/>
  <c r="AG85" i="62"/>
  <c r="AF85" i="62"/>
  <c r="AG79" i="62"/>
  <c r="AF79" i="62"/>
  <c r="AG54" i="62"/>
  <c r="AF54" i="62"/>
  <c r="AG50" i="62"/>
  <c r="AF50" i="62"/>
  <c r="AG39" i="62"/>
  <c r="AF39" i="62"/>
  <c r="AG35" i="62"/>
  <c r="AF35" i="62"/>
  <c r="AG20" i="62"/>
  <c r="AF20" i="62"/>
  <c r="AG16" i="62"/>
  <c r="AF16" i="62"/>
  <c r="AG40" i="65"/>
  <c r="AG29" i="65"/>
  <c r="AG21" i="65"/>
  <c r="AG14" i="65"/>
  <c r="L34" i="65" l="1"/>
  <c r="AG34" i="65"/>
  <c r="AF45" i="62"/>
  <c r="AF91" i="62"/>
  <c r="L29" i="62"/>
  <c r="L64" i="62" s="1"/>
  <c r="AO85" i="62"/>
  <c r="K29" i="62"/>
  <c r="K64" i="62" s="1"/>
  <c r="K62" i="62"/>
  <c r="L62" i="62"/>
  <c r="L41" i="65"/>
  <c r="K34" i="65"/>
  <c r="AG27" i="62"/>
  <c r="AG29" i="62" s="1"/>
  <c r="AG41" i="65"/>
  <c r="AG43" i="65" s="1"/>
  <c r="AG45" i="65" s="1"/>
  <c r="AG91" i="62"/>
  <c r="AG45" i="62"/>
  <c r="AF27" i="62"/>
  <c r="AF29" i="62" s="1"/>
  <c r="AG60" i="62"/>
  <c r="AF60" i="62"/>
  <c r="AF62" i="62" s="1"/>
  <c r="AJ85" i="62"/>
  <c r="AM85" i="62" s="1"/>
  <c r="AI85" i="62"/>
  <c r="AL85" i="62" s="1"/>
  <c r="AJ79" i="62"/>
  <c r="AP79" i="62" s="1"/>
  <c r="AI79" i="62"/>
  <c r="AL79" i="62" s="1"/>
  <c r="AJ54" i="62"/>
  <c r="AP54" i="62" s="1"/>
  <c r="AI54" i="62"/>
  <c r="AO54" i="62" s="1"/>
  <c r="AJ50" i="62"/>
  <c r="AM50" i="62" s="1"/>
  <c r="AI50" i="62"/>
  <c r="AO50" i="62" s="1"/>
  <c r="AJ41" i="62"/>
  <c r="AI39" i="62"/>
  <c r="AL39" i="62" s="1"/>
  <c r="AJ38" i="62"/>
  <c r="AI38" i="62"/>
  <c r="AJ28" i="62"/>
  <c r="AI28" i="62"/>
  <c r="AJ20" i="62"/>
  <c r="AP20" i="62" s="1"/>
  <c r="AI20" i="62"/>
  <c r="AL20" i="62" s="1"/>
  <c r="AJ19" i="62"/>
  <c r="AI19" i="62"/>
  <c r="AI16" i="62"/>
  <c r="AO16" i="62" s="1"/>
  <c r="AJ40" i="65"/>
  <c r="AM40" i="65" s="1"/>
  <c r="AI40" i="65"/>
  <c r="AL40" i="65" s="1"/>
  <c r="AJ29" i="65"/>
  <c r="AM29" i="65" s="1"/>
  <c r="AI29" i="65"/>
  <c r="AL29" i="65" s="1"/>
  <c r="AJ19" i="65"/>
  <c r="AI19" i="65"/>
  <c r="AJ14" i="65"/>
  <c r="AP14" i="65" s="1"/>
  <c r="AI14" i="65"/>
  <c r="AM14" i="65" l="1"/>
  <c r="AP50" i="62"/>
  <c r="AL16" i="62"/>
  <c r="AL54" i="62"/>
  <c r="AM79" i="62"/>
  <c r="AL28" i="62"/>
  <c r="AO28" i="62"/>
  <c r="AO20" i="62"/>
  <c r="AP85" i="62"/>
  <c r="AM20" i="62"/>
  <c r="AM54" i="62"/>
  <c r="AI35" i="62"/>
  <c r="AL38" i="62"/>
  <c r="AO38" i="62"/>
  <c r="AJ35" i="62"/>
  <c r="AM38" i="62"/>
  <c r="AP38" i="62"/>
  <c r="AO79" i="62"/>
  <c r="AM28" i="62"/>
  <c r="AP28" i="62"/>
  <c r="AL19" i="62"/>
  <c r="AO19" i="62"/>
  <c r="AO39" i="62"/>
  <c r="AL50" i="62"/>
  <c r="AJ16" i="62"/>
  <c r="AM19" i="62"/>
  <c r="AP19" i="62"/>
  <c r="AJ39" i="62"/>
  <c r="AM41" i="62"/>
  <c r="AP41" i="62"/>
  <c r="AO14" i="65"/>
  <c r="AL14" i="65"/>
  <c r="AI21" i="65"/>
  <c r="AO19" i="65"/>
  <c r="AL19" i="65"/>
  <c r="AJ21" i="65"/>
  <c r="AJ34" i="65" s="1"/>
  <c r="AP19" i="65"/>
  <c r="AM19" i="65"/>
  <c r="K41" i="65"/>
  <c r="L43" i="65"/>
  <c r="AI60" i="62"/>
  <c r="AO60" i="62" s="1"/>
  <c r="AF64" i="62"/>
  <c r="AJ27" i="62"/>
  <c r="AP27" i="62" s="1"/>
  <c r="AJ60" i="62"/>
  <c r="AM60" i="62" s="1"/>
  <c r="AG62" i="62"/>
  <c r="AG64" i="62" s="1"/>
  <c r="AI27" i="62"/>
  <c r="AI29" i="62" s="1"/>
  <c r="AO29" i="62" s="1"/>
  <c r="AJ91" i="62"/>
  <c r="AM91" i="62" s="1"/>
  <c r="AI34" i="65"/>
  <c r="AI41" i="65" s="1"/>
  <c r="AI43" i="65" s="1"/>
  <c r="AI45" i="65" s="1"/>
  <c r="AI91" i="62"/>
  <c r="AL60" i="62" l="1"/>
  <c r="AL29" i="62"/>
  <c r="AL35" i="62"/>
  <c r="AO35" i="62"/>
  <c r="AP39" i="62"/>
  <c r="AM39" i="62"/>
  <c r="AI45" i="62"/>
  <c r="AL27" i="62"/>
  <c r="AL91" i="62"/>
  <c r="AO91" i="62"/>
  <c r="AP16" i="62"/>
  <c r="AM16" i="62"/>
  <c r="AP91" i="62"/>
  <c r="AO27" i="62"/>
  <c r="AJ29" i="62"/>
  <c r="AM27" i="62"/>
  <c r="AM35" i="62"/>
  <c r="AP35" i="62"/>
  <c r="AJ45" i="62"/>
  <c r="AP60" i="62"/>
  <c r="AJ41" i="65"/>
  <c r="AM34" i="65"/>
  <c r="L45" i="65"/>
  <c r="AL21" i="65"/>
  <c r="AO21" i="65"/>
  <c r="AL34" i="65"/>
  <c r="AM21" i="65"/>
  <c r="AP21" i="65"/>
  <c r="K43" i="65"/>
  <c r="AL41" i="65"/>
  <c r="AP45" i="62" l="1"/>
  <c r="AM45" i="62"/>
  <c r="AP29" i="62"/>
  <c r="AM29" i="62"/>
  <c r="AI62" i="62"/>
  <c r="AL45" i="62"/>
  <c r="AO45" i="62"/>
  <c r="AJ62" i="62"/>
  <c r="K45" i="65"/>
  <c r="AL45" i="65" s="1"/>
  <c r="AL43" i="65"/>
  <c r="AJ43" i="65"/>
  <c r="AM41" i="65"/>
  <c r="G76" i="62"/>
  <c r="AJ64" i="62" l="1"/>
  <c r="AM62" i="62"/>
  <c r="AP62" i="62"/>
  <c r="AO62" i="62"/>
  <c r="AL62" i="62"/>
  <c r="AI64" i="62"/>
  <c r="AJ45" i="65"/>
  <c r="AM45" i="65" s="1"/>
  <c r="AM43" i="65"/>
  <c r="AL64" i="62" l="1"/>
  <c r="AO64" i="62"/>
  <c r="AM64" i="62"/>
  <c r="AP64" i="62"/>
  <c r="K32" i="13"/>
  <c r="J33" i="23"/>
  <c r="J32" i="23"/>
  <c r="J33" i="29"/>
  <c r="J32" i="29"/>
  <c r="J33" i="35"/>
  <c r="J33" i="33"/>
  <c r="J32" i="33"/>
  <c r="J32" i="18"/>
  <c r="J30" i="23"/>
  <c r="J30" i="29"/>
  <c r="J30" i="18"/>
  <c r="J25" i="13"/>
  <c r="J25" i="20"/>
  <c r="J25" i="23"/>
  <c r="J25" i="29"/>
  <c r="J33" i="20" l="1"/>
  <c r="K33" i="20"/>
  <c r="J26" i="18"/>
  <c r="J26" i="37"/>
  <c r="J26" i="33"/>
  <c r="J26" i="35"/>
  <c r="J26" i="29"/>
  <c r="J26" i="23"/>
  <c r="J26" i="20"/>
  <c r="K23" i="33"/>
  <c r="J33" i="18"/>
  <c r="J33" i="37"/>
  <c r="K31" i="23"/>
  <c r="K25" i="18"/>
  <c r="K25" i="37"/>
  <c r="K25" i="33"/>
  <c r="K25" i="29"/>
  <c r="L25" i="29" s="1"/>
  <c r="K25" i="23"/>
  <c r="L25" i="23" s="1"/>
  <c r="K25" i="20"/>
  <c r="L25" i="20" s="1"/>
  <c r="K25" i="13"/>
  <c r="L25" i="13" s="1"/>
  <c r="K23" i="37"/>
  <c r="K23" i="20"/>
  <c r="K32" i="18"/>
  <c r="L32" i="18" s="1"/>
  <c r="K32" i="33"/>
  <c r="L32" i="33" s="1"/>
  <c r="K32" i="29"/>
  <c r="L32" i="29" s="1"/>
  <c r="K32" i="23"/>
  <c r="L32" i="23" s="1"/>
  <c r="K33" i="23"/>
  <c r="L33" i="23" s="1"/>
  <c r="K32" i="20"/>
  <c r="K26" i="18"/>
  <c r="K26" i="33"/>
  <c r="K26" i="29"/>
  <c r="K26" i="20"/>
  <c r="K23" i="35"/>
  <c r="K23" i="13"/>
  <c r="K33" i="18"/>
  <c r="K33" i="33"/>
  <c r="L33" i="33" s="1"/>
  <c r="K33" i="29"/>
  <c r="L33" i="29" s="1"/>
  <c r="J23" i="20"/>
  <c r="K26" i="35"/>
  <c r="J23" i="37"/>
  <c r="K26" i="37"/>
  <c r="K26" i="23"/>
  <c r="K31" i="13"/>
  <c r="J23" i="18"/>
  <c r="J23" i="29"/>
  <c r="J23" i="23"/>
  <c r="J25" i="18"/>
  <c r="L25" i="18" s="1"/>
  <c r="J25" i="37"/>
  <c r="J25" i="33"/>
  <c r="K24" i="24"/>
  <c r="K24" i="13"/>
  <c r="K31" i="18"/>
  <c r="K31" i="33"/>
  <c r="K31" i="29"/>
  <c r="J23" i="35"/>
  <c r="L23" i="35" s="1"/>
  <c r="J23" i="13"/>
  <c r="K30" i="20"/>
  <c r="K30" i="13"/>
  <c r="K24" i="33"/>
  <c r="K24" i="29"/>
  <c r="J31" i="37"/>
  <c r="J31" i="24"/>
  <c r="J31" i="35"/>
  <c r="J31" i="13"/>
  <c r="J24" i="37"/>
  <c r="J24" i="33"/>
  <c r="J24" i="29"/>
  <c r="J24" i="24"/>
  <c r="J24" i="13"/>
  <c r="L24" i="13" s="1"/>
  <c r="K23" i="18"/>
  <c r="K23" i="29"/>
  <c r="K23" i="23"/>
  <c r="J31" i="18"/>
  <c r="L31" i="18" s="1"/>
  <c r="J31" i="33"/>
  <c r="L31" i="33" s="1"/>
  <c r="J31" i="29"/>
  <c r="L31" i="29" s="1"/>
  <c r="J31" i="23"/>
  <c r="L31" i="23" s="1"/>
  <c r="K24" i="37"/>
  <c r="K30" i="37"/>
  <c r="J30" i="13"/>
  <c r="J23" i="33"/>
  <c r="J30" i="33"/>
  <c r="J30" i="35"/>
  <c r="J32" i="20"/>
  <c r="L32" i="20" s="1"/>
  <c r="J32" i="13"/>
  <c r="L32" i="13" s="1"/>
  <c r="J30" i="37"/>
  <c r="L30" i="37" s="1"/>
  <c r="J30" i="20"/>
  <c r="J32" i="37"/>
  <c r="K30" i="18"/>
  <c r="L30" i="18" s="1"/>
  <c r="K30" i="33"/>
  <c r="K30" i="29"/>
  <c r="L30" i="29" s="1"/>
  <c r="K30" i="23"/>
  <c r="L30" i="23" s="1"/>
  <c r="K32" i="37"/>
  <c r="K30" i="35"/>
  <c r="K31" i="37"/>
  <c r="K33" i="37"/>
  <c r="K31" i="35"/>
  <c r="K33" i="35"/>
  <c r="L33" i="35" s="1"/>
  <c r="K31" i="24"/>
  <c r="L30" i="35" l="1"/>
  <c r="L25" i="33"/>
  <c r="L31" i="13"/>
  <c r="L25" i="37"/>
  <c r="L31" i="37"/>
  <c r="L26" i="33"/>
  <c r="L23" i="18"/>
  <c r="L24" i="33"/>
  <c r="L30" i="33"/>
  <c r="L24" i="24"/>
  <c r="L33" i="37"/>
  <c r="L26" i="37"/>
  <c r="L24" i="29"/>
  <c r="L33" i="18"/>
  <c r="L26" i="18"/>
  <c r="L24" i="37"/>
  <c r="L26" i="20"/>
  <c r="L33" i="20"/>
  <c r="L23" i="33"/>
  <c r="L23" i="13"/>
  <c r="L23" i="37"/>
  <c r="L26" i="23"/>
  <c r="L30" i="13"/>
  <c r="L31" i="35"/>
  <c r="L26" i="29"/>
  <c r="L32" i="37"/>
  <c r="L31" i="24"/>
  <c r="L23" i="23"/>
  <c r="L26" i="35"/>
  <c r="L23" i="29"/>
  <c r="I33" i="18"/>
  <c r="I33" i="23"/>
  <c r="I33" i="35"/>
  <c r="I33" i="33"/>
  <c r="I33" i="29"/>
  <c r="I33" i="37"/>
  <c r="I33" i="20"/>
  <c r="E31" i="13"/>
  <c r="E31" i="37"/>
  <c r="E31" i="33"/>
  <c r="E31" i="24"/>
  <c r="E31" i="29"/>
  <c r="E23" i="13"/>
  <c r="E23" i="20"/>
  <c r="E23" i="37"/>
  <c r="E23" i="33"/>
  <c r="E23" i="29"/>
  <c r="E25" i="20"/>
  <c r="E25" i="13"/>
  <c r="E30" i="13"/>
  <c r="E30" i="20"/>
  <c r="E30" i="37"/>
  <c r="E30" i="29"/>
  <c r="E30" i="33"/>
  <c r="E32" i="20"/>
  <c r="E32" i="13"/>
  <c r="E32" i="29"/>
  <c r="E24" i="24"/>
  <c r="E24" i="13"/>
  <c r="E24" i="29"/>
  <c r="E24" i="33"/>
  <c r="E24" i="37"/>
  <c r="K7" i="72"/>
  <c r="K9" i="72"/>
  <c r="L7" i="72"/>
  <c r="D48" i="72"/>
  <c r="D7" i="72"/>
  <c r="D9" i="72"/>
  <c r="AK44" i="65"/>
  <c r="AH44" i="65"/>
  <c r="Y44" i="65"/>
  <c r="V44" i="65"/>
  <c r="S44" i="65"/>
  <c r="M44" i="65"/>
  <c r="G44" i="65"/>
  <c r="AK42" i="65"/>
  <c r="AH42" i="65"/>
  <c r="AB42" i="65"/>
  <c r="Y42" i="65"/>
  <c r="P42" i="65"/>
  <c r="M42" i="65"/>
  <c r="J42" i="65"/>
  <c r="G42" i="65"/>
  <c r="D42" i="65"/>
  <c r="AK40" i="65"/>
  <c r="AH40" i="65"/>
  <c r="AB40" i="65"/>
  <c r="Y40" i="65"/>
  <c r="V40" i="65"/>
  <c r="S40" i="65"/>
  <c r="P40" i="65"/>
  <c r="M40" i="65"/>
  <c r="J40" i="65"/>
  <c r="G40" i="65"/>
  <c r="D40" i="65"/>
  <c r="AK39" i="65"/>
  <c r="AH39" i="65"/>
  <c r="AB39" i="65"/>
  <c r="Y39" i="65"/>
  <c r="V39" i="65"/>
  <c r="S39" i="65"/>
  <c r="M39" i="65"/>
  <c r="J39" i="65"/>
  <c r="G39" i="65"/>
  <c r="AK38" i="65"/>
  <c r="AH38" i="65"/>
  <c r="AB38" i="65"/>
  <c r="Y38" i="65"/>
  <c r="V38" i="65"/>
  <c r="S38" i="65"/>
  <c r="M38" i="65"/>
  <c r="J38" i="65"/>
  <c r="G38" i="65"/>
  <c r="AK37" i="65"/>
  <c r="AH37" i="65"/>
  <c r="AB37" i="65"/>
  <c r="Y37" i="65"/>
  <c r="V37" i="65"/>
  <c r="S37" i="65"/>
  <c r="P37" i="65"/>
  <c r="M37" i="65"/>
  <c r="J37" i="65"/>
  <c r="G37" i="65"/>
  <c r="D37" i="65"/>
  <c r="AK33" i="65"/>
  <c r="AH33" i="65"/>
  <c r="Y33" i="65"/>
  <c r="V33" i="65"/>
  <c r="S33" i="65"/>
  <c r="G33" i="65"/>
  <c r="AK32" i="65"/>
  <c r="AH32" i="65"/>
  <c r="AE32" i="65"/>
  <c r="AB32" i="65"/>
  <c r="Y32" i="65"/>
  <c r="V32" i="65"/>
  <c r="S32" i="65"/>
  <c r="P32" i="65"/>
  <c r="M32" i="65"/>
  <c r="J32" i="65"/>
  <c r="G32" i="65"/>
  <c r="D32" i="65"/>
  <c r="AK31" i="65"/>
  <c r="AH31" i="65"/>
  <c r="AB31" i="65"/>
  <c r="Y31" i="65"/>
  <c r="S31" i="65"/>
  <c r="M31" i="65"/>
  <c r="G31" i="65"/>
  <c r="D31" i="65"/>
  <c r="AK30" i="65"/>
  <c r="AH30" i="65"/>
  <c r="AE30" i="65"/>
  <c r="Y30" i="65"/>
  <c r="V30" i="65"/>
  <c r="S30" i="65"/>
  <c r="M30" i="65"/>
  <c r="G30" i="65"/>
  <c r="D30" i="65"/>
  <c r="Y29" i="65"/>
  <c r="AK28" i="65"/>
  <c r="AH28" i="65"/>
  <c r="Y28" i="65"/>
  <c r="V28" i="65"/>
  <c r="S28" i="65"/>
  <c r="M28" i="65"/>
  <c r="G28" i="65"/>
  <c r="AK27" i="65"/>
  <c r="AH27" i="65"/>
  <c r="Y27" i="65"/>
  <c r="J27" i="65"/>
  <c r="G27" i="65"/>
  <c r="D27" i="65"/>
  <c r="AK26" i="65"/>
  <c r="AH26" i="65"/>
  <c r="AB26" i="65"/>
  <c r="Y26" i="65"/>
  <c r="V26" i="65"/>
  <c r="S26" i="65"/>
  <c r="G26" i="65"/>
  <c r="AK25" i="65"/>
  <c r="AH25" i="65"/>
  <c r="AB25" i="65"/>
  <c r="Y25" i="65"/>
  <c r="V25" i="65"/>
  <c r="S25" i="65"/>
  <c r="M25" i="65"/>
  <c r="G25" i="65"/>
  <c r="D25" i="65"/>
  <c r="AK24" i="65"/>
  <c r="AH24" i="65"/>
  <c r="AB24" i="65"/>
  <c r="Y24" i="65"/>
  <c r="V24" i="65"/>
  <c r="S24" i="65"/>
  <c r="M24" i="65"/>
  <c r="J24" i="65"/>
  <c r="G24" i="65"/>
  <c r="AK23" i="65"/>
  <c r="AH23" i="65"/>
  <c r="AB23" i="65"/>
  <c r="Y23" i="65"/>
  <c r="V23" i="65"/>
  <c r="S23" i="65"/>
  <c r="M23" i="65"/>
  <c r="J23" i="65"/>
  <c r="G23" i="65"/>
  <c r="D23" i="65"/>
  <c r="AB21" i="65"/>
  <c r="AK20" i="65"/>
  <c r="AH20" i="65"/>
  <c r="AE20" i="65"/>
  <c r="Y20" i="65"/>
  <c r="V20" i="65"/>
  <c r="S20" i="65"/>
  <c r="M20" i="65"/>
  <c r="J20" i="65"/>
  <c r="G20" i="65"/>
  <c r="D20" i="65"/>
  <c r="AK19" i="65"/>
  <c r="AH19" i="65"/>
  <c r="AE19" i="65"/>
  <c r="AB19" i="65"/>
  <c r="Y19" i="65"/>
  <c r="V19" i="65"/>
  <c r="S19" i="65"/>
  <c r="P19" i="65"/>
  <c r="M19" i="65"/>
  <c r="J19" i="65"/>
  <c r="G19" i="65"/>
  <c r="D19" i="65"/>
  <c r="AK17" i="65"/>
  <c r="AH17" i="65"/>
  <c r="AB17" i="65"/>
  <c r="Y17" i="65"/>
  <c r="V17" i="65"/>
  <c r="S17" i="65"/>
  <c r="J17" i="65"/>
  <c r="G17" i="65"/>
  <c r="AK16" i="65"/>
  <c r="AH16" i="65"/>
  <c r="AE16" i="65"/>
  <c r="Y16" i="65"/>
  <c r="V16" i="65"/>
  <c r="S16" i="65"/>
  <c r="M16" i="65"/>
  <c r="J16" i="65"/>
  <c r="G16" i="65"/>
  <c r="D16" i="65"/>
  <c r="AK15" i="65"/>
  <c r="AH15" i="65"/>
  <c r="AB15" i="65"/>
  <c r="Y15" i="65"/>
  <c r="V15" i="65"/>
  <c r="S15" i="65"/>
  <c r="M15" i="65"/>
  <c r="J15" i="65"/>
  <c r="G15" i="65"/>
  <c r="D15" i="65"/>
  <c r="AK14" i="65"/>
  <c r="Y14" i="65"/>
  <c r="AK13" i="65"/>
  <c r="AH13" i="65"/>
  <c r="AE13" i="65"/>
  <c r="Y13" i="65"/>
  <c r="V13" i="65"/>
  <c r="S13" i="65"/>
  <c r="M13" i="65"/>
  <c r="J13" i="65"/>
  <c r="G13" i="65"/>
  <c r="D13" i="65"/>
  <c r="AK12" i="65"/>
  <c r="AH12" i="65"/>
  <c r="Y12" i="65"/>
  <c r="V12" i="65"/>
  <c r="S12" i="65"/>
  <c r="M12" i="65"/>
  <c r="J12" i="65"/>
  <c r="G12" i="65"/>
  <c r="D12" i="65"/>
  <c r="AK11" i="65"/>
  <c r="AH11" i="65"/>
  <c r="AE11" i="65"/>
  <c r="AB11" i="65"/>
  <c r="Y11" i="65"/>
  <c r="V11" i="65"/>
  <c r="S11" i="65"/>
  <c r="P11" i="65"/>
  <c r="M11" i="65"/>
  <c r="J11" i="65"/>
  <c r="G11" i="65"/>
  <c r="D11" i="65"/>
  <c r="AK89" i="62"/>
  <c r="AH89" i="62"/>
  <c r="AB89" i="62"/>
  <c r="Y89" i="62"/>
  <c r="V89" i="62"/>
  <c r="S89" i="62"/>
  <c r="P89" i="62"/>
  <c r="M89" i="62"/>
  <c r="J89" i="62"/>
  <c r="G89" i="62"/>
  <c r="D89" i="62"/>
  <c r="AK88" i="62"/>
  <c r="AH88" i="62"/>
  <c r="AE88" i="62"/>
  <c r="AB88" i="62"/>
  <c r="Y88" i="62"/>
  <c r="V88" i="62"/>
  <c r="S88" i="62"/>
  <c r="P88" i="62"/>
  <c r="M88" i="62"/>
  <c r="G88" i="62"/>
  <c r="D88" i="62"/>
  <c r="AH87" i="62"/>
  <c r="AK86" i="62"/>
  <c r="AH86" i="62"/>
  <c r="AB86" i="62"/>
  <c r="Y86" i="62"/>
  <c r="V86" i="62"/>
  <c r="S86" i="62"/>
  <c r="P86" i="62"/>
  <c r="M86" i="62"/>
  <c r="J86" i="62"/>
  <c r="G86" i="62"/>
  <c r="D86" i="62"/>
  <c r="AK83" i="62"/>
  <c r="AH83" i="62"/>
  <c r="V83" i="62"/>
  <c r="S83" i="62"/>
  <c r="M83" i="62"/>
  <c r="G83" i="62"/>
  <c r="D83" i="62"/>
  <c r="AK82" i="62"/>
  <c r="AH82" i="62"/>
  <c r="Y82" i="62"/>
  <c r="AK81" i="62"/>
  <c r="AH81" i="62"/>
  <c r="AE81" i="62"/>
  <c r="Y81" i="62"/>
  <c r="V81" i="62"/>
  <c r="S81" i="62"/>
  <c r="M81" i="62"/>
  <c r="J81" i="62"/>
  <c r="G81" i="62"/>
  <c r="D81" i="62"/>
  <c r="AK77" i="62"/>
  <c r="AH77" i="62"/>
  <c r="Y77" i="62"/>
  <c r="J77" i="62"/>
  <c r="G77" i="62"/>
  <c r="D77" i="62"/>
  <c r="AK76" i="62"/>
  <c r="AH76" i="62"/>
  <c r="Y76" i="62"/>
  <c r="V76" i="62"/>
  <c r="S76" i="62"/>
  <c r="D76" i="62"/>
  <c r="AK75" i="62"/>
  <c r="AH75" i="62"/>
  <c r="AB75" i="62"/>
  <c r="Y75" i="62"/>
  <c r="V75" i="62"/>
  <c r="S75" i="62"/>
  <c r="M75" i="62"/>
  <c r="G75" i="62"/>
  <c r="D75" i="62"/>
  <c r="AK74" i="62"/>
  <c r="AH74" i="62"/>
  <c r="AB74" i="62"/>
  <c r="Y74" i="62"/>
  <c r="V74" i="62"/>
  <c r="S74" i="62"/>
  <c r="M74" i="62"/>
  <c r="J74" i="62"/>
  <c r="G74" i="62"/>
  <c r="D74" i="62"/>
  <c r="AK73" i="62"/>
  <c r="AH73" i="62"/>
  <c r="AB73" i="62"/>
  <c r="Y73" i="62"/>
  <c r="V73" i="62"/>
  <c r="S73" i="62"/>
  <c r="M73" i="62"/>
  <c r="J73" i="62"/>
  <c r="G73" i="62"/>
  <c r="D73" i="62"/>
  <c r="AK71" i="62"/>
  <c r="AH71" i="62"/>
  <c r="AB71" i="62"/>
  <c r="Y71" i="62"/>
  <c r="S71" i="62"/>
  <c r="G71" i="62"/>
  <c r="AK70" i="62"/>
  <c r="AH70" i="62"/>
  <c r="AB70" i="62"/>
  <c r="Y70" i="62"/>
  <c r="V70" i="62"/>
  <c r="S70" i="62"/>
  <c r="M70" i="62"/>
  <c r="G70" i="62"/>
  <c r="AK69" i="62"/>
  <c r="AH69" i="62"/>
  <c r="AE69" i="62"/>
  <c r="AB69" i="62"/>
  <c r="Y69" i="62"/>
  <c r="V69" i="62"/>
  <c r="S69" i="62"/>
  <c r="P69" i="62"/>
  <c r="M69" i="62"/>
  <c r="J69" i="62"/>
  <c r="G69" i="62"/>
  <c r="D69" i="62"/>
  <c r="AK68" i="62"/>
  <c r="AH68" i="62"/>
  <c r="AE68" i="62"/>
  <c r="AB68" i="62"/>
  <c r="Y68" i="62"/>
  <c r="V68" i="62"/>
  <c r="S68" i="62"/>
  <c r="P68" i="62"/>
  <c r="M68" i="62"/>
  <c r="J68" i="62"/>
  <c r="G68" i="62"/>
  <c r="D68" i="62"/>
  <c r="AK59" i="62"/>
  <c r="AH59" i="62"/>
  <c r="Y59" i="62"/>
  <c r="S59" i="62"/>
  <c r="M59" i="62"/>
  <c r="J59" i="62"/>
  <c r="D59" i="62"/>
  <c r="AK58" i="62"/>
  <c r="S58" i="62"/>
  <c r="AK57" i="62"/>
  <c r="V57" i="62"/>
  <c r="S57" i="62"/>
  <c r="M57" i="62"/>
  <c r="G57" i="62"/>
  <c r="AK56" i="62"/>
  <c r="AH56" i="62"/>
  <c r="V56" i="62"/>
  <c r="S56" i="62"/>
  <c r="M56" i="62"/>
  <c r="J56" i="62"/>
  <c r="G56" i="62"/>
  <c r="D56" i="62"/>
  <c r="AK55" i="62"/>
  <c r="AH55" i="62"/>
  <c r="AE55" i="62"/>
  <c r="Y55" i="62"/>
  <c r="V55" i="62"/>
  <c r="S55" i="62"/>
  <c r="M55" i="62"/>
  <c r="J55" i="62"/>
  <c r="G55" i="62"/>
  <c r="D55" i="62"/>
  <c r="S53" i="62"/>
  <c r="S51" i="62"/>
  <c r="AK49" i="62"/>
  <c r="S49" i="62"/>
  <c r="AQ48" i="62"/>
  <c r="AN48" i="62"/>
  <c r="AH46" i="62"/>
  <c r="Y46" i="62"/>
  <c r="J46" i="62"/>
  <c r="D46" i="62"/>
  <c r="AK44" i="62"/>
  <c r="AH44" i="62"/>
  <c r="AB44" i="62"/>
  <c r="Y44" i="62"/>
  <c r="S44" i="62"/>
  <c r="M44" i="62"/>
  <c r="J44" i="62"/>
  <c r="G44" i="62"/>
  <c r="D44" i="62"/>
  <c r="AK43" i="62"/>
  <c r="AH43" i="62"/>
  <c r="AB43" i="62"/>
  <c r="Y43" i="62"/>
  <c r="S43" i="62"/>
  <c r="G43" i="62"/>
  <c r="D43" i="62"/>
  <c r="AK42" i="62"/>
  <c r="AB42" i="62"/>
  <c r="V42" i="62"/>
  <c r="S42" i="62"/>
  <c r="M42" i="62"/>
  <c r="G42" i="62"/>
  <c r="AK41" i="62"/>
  <c r="AH41" i="62"/>
  <c r="AB41" i="62"/>
  <c r="Y41" i="62"/>
  <c r="V41" i="62"/>
  <c r="S41" i="62"/>
  <c r="M41" i="62"/>
  <c r="J41" i="62"/>
  <c r="G41" i="62"/>
  <c r="D41" i="62"/>
  <c r="AK40" i="62"/>
  <c r="AH40" i="62"/>
  <c r="AB40" i="62"/>
  <c r="Y40" i="62"/>
  <c r="V40" i="62"/>
  <c r="S40" i="62"/>
  <c r="J40" i="62"/>
  <c r="G40" i="62"/>
  <c r="D40" i="62"/>
  <c r="AK38" i="62"/>
  <c r="AH38" i="62"/>
  <c r="AB38" i="62"/>
  <c r="Y38" i="62"/>
  <c r="V38" i="62"/>
  <c r="S38" i="62"/>
  <c r="M38" i="62"/>
  <c r="AK37" i="62"/>
  <c r="AH37" i="62"/>
  <c r="AB37" i="62"/>
  <c r="Y37" i="62"/>
  <c r="S37" i="62"/>
  <c r="M37" i="62"/>
  <c r="G37" i="62"/>
  <c r="AK36" i="62"/>
  <c r="AH36" i="62"/>
  <c r="AB36" i="62"/>
  <c r="Y36" i="62"/>
  <c r="V36" i="62"/>
  <c r="S36" i="62"/>
  <c r="M36" i="62"/>
  <c r="G36" i="62"/>
  <c r="G35" i="62"/>
  <c r="AK34" i="62"/>
  <c r="AH34" i="62"/>
  <c r="AB34" i="62"/>
  <c r="Y34" i="62"/>
  <c r="V34" i="62"/>
  <c r="S34" i="62"/>
  <c r="G34" i="62"/>
  <c r="AH33" i="62"/>
  <c r="AB33" i="62"/>
  <c r="G33" i="62"/>
  <c r="AK28" i="62"/>
  <c r="AH28" i="62"/>
  <c r="AB28" i="62"/>
  <c r="Y28" i="62"/>
  <c r="V28" i="62"/>
  <c r="S28" i="62"/>
  <c r="M28" i="62"/>
  <c r="J28" i="62"/>
  <c r="G28" i="62"/>
  <c r="D28" i="62"/>
  <c r="P27" i="62"/>
  <c r="AQ26" i="62"/>
  <c r="AN26" i="62"/>
  <c r="AK25" i="62"/>
  <c r="AH25" i="62"/>
  <c r="S25" i="62"/>
  <c r="J25" i="62"/>
  <c r="G25" i="62"/>
  <c r="AK24" i="62"/>
  <c r="AB24" i="62"/>
  <c r="S24" i="62"/>
  <c r="G24" i="62"/>
  <c r="AK23" i="62"/>
  <c r="AH23" i="62"/>
  <c r="AB23" i="62"/>
  <c r="Y23" i="62"/>
  <c r="V23" i="62"/>
  <c r="S23" i="62"/>
  <c r="M23" i="62"/>
  <c r="G23" i="62"/>
  <c r="AK22" i="62"/>
  <c r="AH22" i="62"/>
  <c r="AB22" i="62"/>
  <c r="Y22" i="62"/>
  <c r="V22" i="62"/>
  <c r="S22" i="62"/>
  <c r="M22" i="62"/>
  <c r="J22" i="62"/>
  <c r="G22" i="62"/>
  <c r="D22" i="62"/>
  <c r="AK21" i="62"/>
  <c r="AH21" i="62"/>
  <c r="Y21" i="62"/>
  <c r="V21" i="62"/>
  <c r="S21" i="62"/>
  <c r="M21" i="62"/>
  <c r="J21" i="62"/>
  <c r="G21" i="62"/>
  <c r="D21" i="62"/>
  <c r="AK20" i="62"/>
  <c r="AH20" i="62"/>
  <c r="AB20" i="62"/>
  <c r="Y20" i="62"/>
  <c r="V20" i="62"/>
  <c r="S20" i="62"/>
  <c r="P20" i="62"/>
  <c r="M20" i="62"/>
  <c r="J20" i="62"/>
  <c r="G20" i="62"/>
  <c r="AK19" i="62"/>
  <c r="AH19" i="62"/>
  <c r="AB19" i="62"/>
  <c r="S19" i="62"/>
  <c r="AK18" i="62"/>
  <c r="AH18" i="62"/>
  <c r="S18" i="62"/>
  <c r="AK17" i="62"/>
  <c r="AH17" i="62"/>
  <c r="AB17" i="62"/>
  <c r="S17" i="62"/>
  <c r="AK27" i="62"/>
  <c r="AK15" i="62"/>
  <c r="AH15" i="62"/>
  <c r="AB15" i="62"/>
  <c r="S15" i="62"/>
  <c r="G15" i="62"/>
  <c r="AH14" i="62"/>
  <c r="S14" i="62"/>
  <c r="AQ61" i="62" l="1"/>
  <c r="AN61" i="62"/>
  <c r="AN84" i="62"/>
  <c r="AQ84" i="62"/>
  <c r="AN18" i="62"/>
  <c r="AN19" i="62"/>
  <c r="AN21" i="62"/>
  <c r="AQ22" i="62"/>
  <c r="AQ14" i="62"/>
  <c r="AQ37" i="62"/>
  <c r="AQ41" i="62"/>
  <c r="AQ52" i="62"/>
  <c r="AE54" i="62"/>
  <c r="AH54" i="62"/>
  <c r="AN59" i="62"/>
  <c r="AN69" i="62"/>
  <c r="AN70" i="62"/>
  <c r="V27" i="62"/>
  <c r="AQ40" i="62"/>
  <c r="AQ46" i="62"/>
  <c r="J14" i="65"/>
  <c r="AN15" i="65"/>
  <c r="AQ16" i="65"/>
  <c r="AN19" i="65"/>
  <c r="AN28" i="65"/>
  <c r="AQ71" i="62"/>
  <c r="AN74" i="62"/>
  <c r="AQ75" i="62"/>
  <c r="AQ81" i="62"/>
  <c r="AN83" i="62"/>
  <c r="AN86" i="62"/>
  <c r="AQ87" i="62"/>
  <c r="AQ89" i="62"/>
  <c r="H25" i="9"/>
  <c r="D47" i="72"/>
  <c r="G25" i="9"/>
  <c r="B25" i="9"/>
  <c r="AN14" i="62"/>
  <c r="AN15" i="62"/>
  <c r="Y27" i="62"/>
  <c r="AN37" i="62"/>
  <c r="AN38" i="62"/>
  <c r="AN51" i="62"/>
  <c r="AN52" i="62"/>
  <c r="AQ55" i="62"/>
  <c r="AQ57" i="62"/>
  <c r="AQ68" i="62"/>
  <c r="AN17" i="65"/>
  <c r="AN20" i="65"/>
  <c r="S16" i="62"/>
  <c r="AQ28" i="62"/>
  <c r="AN33" i="62"/>
  <c r="AN40" i="62"/>
  <c r="AQ42" i="62"/>
  <c r="AN46" i="62"/>
  <c r="AQ69" i="62"/>
  <c r="AQ76" i="62"/>
  <c r="AN77" i="62"/>
  <c r="AN78" i="62"/>
  <c r="AQ82" i="62"/>
  <c r="AQ12" i="65"/>
  <c r="AN13" i="65"/>
  <c r="AN27" i="65"/>
  <c r="AN33" i="65"/>
  <c r="AN44" i="65"/>
  <c r="AQ15" i="62"/>
  <c r="AQ17" i="62"/>
  <c r="AQ19" i="62"/>
  <c r="AQ21" i="62"/>
  <c r="AQ23" i="62"/>
  <c r="AN25" i="62"/>
  <c r="AQ33" i="62"/>
  <c r="AN41" i="62"/>
  <c r="AN42" i="62"/>
  <c r="AN43" i="62"/>
  <c r="AQ53" i="62"/>
  <c r="AN56" i="62"/>
  <c r="AN68" i="62"/>
  <c r="AQ86" i="62"/>
  <c r="AN87" i="62"/>
  <c r="AN88" i="62"/>
  <c r="AN89" i="62"/>
  <c r="AQ19" i="65"/>
  <c r="AH35" i="62"/>
  <c r="Y39" i="62"/>
  <c r="AN58" i="62"/>
  <c r="AN23" i="62"/>
  <c r="AN24" i="62"/>
  <c r="AQ38" i="62"/>
  <c r="S39" i="62"/>
  <c r="AQ43" i="62"/>
  <c r="AN44" i="62"/>
  <c r="AQ49" i="62"/>
  <c r="AQ51" i="62"/>
  <c r="AN55" i="62"/>
  <c r="AQ56" i="62"/>
  <c r="AQ58" i="62"/>
  <c r="AQ59" i="62"/>
  <c r="AQ70" i="62"/>
  <c r="AQ74" i="62"/>
  <c r="AN75" i="62"/>
  <c r="AN76" i="62"/>
  <c r="AQ77" i="62"/>
  <c r="AQ78" i="62"/>
  <c r="AN82" i="62"/>
  <c r="AQ15" i="65"/>
  <c r="AQ20" i="65"/>
  <c r="G21" i="65"/>
  <c r="AH21" i="65"/>
  <c r="AN38" i="65"/>
  <c r="AN39" i="65"/>
  <c r="J29" i="65"/>
  <c r="M54" i="62"/>
  <c r="AK79" i="62"/>
  <c r="AB16" i="62"/>
  <c r="G54" i="62"/>
  <c r="AB14" i="65"/>
  <c r="S29" i="65"/>
  <c r="AN40" i="65"/>
  <c r="V85" i="62"/>
  <c r="AH16" i="62"/>
  <c r="D14" i="65"/>
  <c r="AH29" i="65"/>
  <c r="AQ18" i="62"/>
  <c r="AN49" i="62"/>
  <c r="AN71" i="62"/>
  <c r="AQ88" i="62"/>
  <c r="AN12" i="65"/>
  <c r="AN26" i="65"/>
  <c r="M35" i="62"/>
  <c r="AK35" i="62"/>
  <c r="AN36" i="62"/>
  <c r="V39" i="62"/>
  <c r="AB39" i="62"/>
  <c r="AK54" i="62"/>
  <c r="AQ73" i="62"/>
  <c r="AK16" i="62"/>
  <c r="AN17" i="62"/>
  <c r="AN20" i="62"/>
  <c r="AQ24" i="62"/>
  <c r="AN28" i="62"/>
  <c r="AQ34" i="62"/>
  <c r="AQ36" i="62"/>
  <c r="AQ44" i="62"/>
  <c r="AN53" i="62"/>
  <c r="D54" i="62"/>
  <c r="J54" i="62"/>
  <c r="AN73" i="62"/>
  <c r="AH79" i="62"/>
  <c r="AN81" i="62"/>
  <c r="AQ83" i="62"/>
  <c r="S85" i="62"/>
  <c r="Y85" i="62"/>
  <c r="AN11" i="65"/>
  <c r="AQ13" i="65"/>
  <c r="P14" i="65"/>
  <c r="AN16" i="65"/>
  <c r="AQ17" i="65"/>
  <c r="M21" i="65"/>
  <c r="AN23" i="65"/>
  <c r="AN24" i="65"/>
  <c r="AN25" i="65"/>
  <c r="G29" i="65"/>
  <c r="AN32" i="65"/>
  <c r="AQ25" i="62"/>
  <c r="AN57" i="62"/>
  <c r="AN22" i="62"/>
  <c r="AQ11" i="65"/>
  <c r="V14" i="65"/>
  <c r="AE34" i="65"/>
  <c r="S21" i="65"/>
  <c r="AK21" i="65"/>
  <c r="D29" i="65"/>
  <c r="M29" i="65"/>
  <c r="AN37" i="65"/>
  <c r="G34" i="65"/>
  <c r="S14" i="65"/>
  <c r="J21" i="65"/>
  <c r="V21" i="65"/>
  <c r="AE21" i="65"/>
  <c r="AK29" i="65"/>
  <c r="AB34" i="65"/>
  <c r="AB29" i="65"/>
  <c r="AN30" i="65"/>
  <c r="V29" i="65"/>
  <c r="G14" i="65"/>
  <c r="M14" i="65"/>
  <c r="AE14" i="65"/>
  <c r="D21" i="65"/>
  <c r="P21" i="65"/>
  <c r="AH14" i="65"/>
  <c r="Y21" i="65"/>
  <c r="AN31" i="65"/>
  <c r="AN42" i="65"/>
  <c r="S27" i="62"/>
  <c r="P29" i="62"/>
  <c r="G27" i="62"/>
  <c r="J27" i="62"/>
  <c r="D27" i="62"/>
  <c r="M27" i="62"/>
  <c r="AE29" i="62"/>
  <c r="V35" i="62"/>
  <c r="AN16" i="62"/>
  <c r="AN34" i="62"/>
  <c r="S35" i="62"/>
  <c r="M39" i="62"/>
  <c r="AH39" i="62"/>
  <c r="AQ16" i="62"/>
  <c r="D20" i="62"/>
  <c r="AQ20" i="62"/>
  <c r="Y35" i="62"/>
  <c r="G39" i="62"/>
  <c r="AK39" i="62"/>
  <c r="D39" i="62"/>
  <c r="AB35" i="62"/>
  <c r="J39" i="62"/>
  <c r="V54" i="62"/>
  <c r="G79" i="62"/>
  <c r="M79" i="62"/>
  <c r="S79" i="62"/>
  <c r="Y79" i="62"/>
  <c r="G85" i="62"/>
  <c r="M85" i="62"/>
  <c r="AK85" i="62"/>
  <c r="S91" i="62"/>
  <c r="S50" i="62"/>
  <c r="S54" i="62"/>
  <c r="Y54" i="62"/>
  <c r="D79" i="62"/>
  <c r="J79" i="62"/>
  <c r="P79" i="62"/>
  <c r="V79" i="62"/>
  <c r="AB79" i="62"/>
  <c r="D85" i="62"/>
  <c r="J85" i="62"/>
  <c r="AE85" i="62"/>
  <c r="AH85" i="62"/>
  <c r="C25" i="9" l="1"/>
  <c r="C63" i="9" s="1"/>
  <c r="AQ39" i="62"/>
  <c r="B63" i="9"/>
  <c r="M26" i="8"/>
  <c r="AH27" i="62"/>
  <c r="AN27" i="62"/>
  <c r="AQ27" i="62"/>
  <c r="AB27" i="62"/>
  <c r="AQ14" i="65"/>
  <c r="AQ21" i="65"/>
  <c r="AN35" i="62"/>
  <c r="P91" i="62"/>
  <c r="AQ79" i="62"/>
  <c r="AN79" i="62"/>
  <c r="P34" i="65"/>
  <c r="J34" i="65"/>
  <c r="G41" i="65"/>
  <c r="AN29" i="65"/>
  <c r="AN14" i="65"/>
  <c r="AH34" i="65"/>
  <c r="AN21" i="65"/>
  <c r="M34" i="65"/>
  <c r="AB41" i="65"/>
  <c r="AK34" i="65"/>
  <c r="V34" i="65"/>
  <c r="D34" i="65"/>
  <c r="Y34" i="65"/>
  <c r="S34" i="65"/>
  <c r="V60" i="62"/>
  <c r="AH29" i="62"/>
  <c r="AB29" i="62"/>
  <c r="AN85" i="62"/>
  <c r="AK60" i="62"/>
  <c r="V91" i="62"/>
  <c r="AQ85" i="62"/>
  <c r="AQ54" i="62"/>
  <c r="Y91" i="62"/>
  <c r="AQ50" i="62"/>
  <c r="AB45" i="62"/>
  <c r="V45" i="62"/>
  <c r="J29" i="62"/>
  <c r="Y29" i="62"/>
  <c r="J91" i="62"/>
  <c r="D91" i="62"/>
  <c r="D45" i="62"/>
  <c r="AE60" i="62"/>
  <c r="AE91" i="62"/>
  <c r="AK45" i="62"/>
  <c r="AK91" i="62"/>
  <c r="J60" i="62"/>
  <c r="AN50" i="62"/>
  <c r="M45" i="62"/>
  <c r="Y45" i="62"/>
  <c r="AN54" i="62"/>
  <c r="S45" i="62"/>
  <c r="AK29" i="62"/>
  <c r="M29" i="62"/>
  <c r="AN29" i="62"/>
  <c r="D29" i="62"/>
  <c r="AQ29" i="62"/>
  <c r="G29" i="62"/>
  <c r="S29" i="62"/>
  <c r="G60" i="62"/>
  <c r="AB91" i="62"/>
  <c r="S60" i="62"/>
  <c r="M60" i="62"/>
  <c r="M91" i="62"/>
  <c r="Y60" i="62"/>
  <c r="AH45" i="62"/>
  <c r="AH60" i="62"/>
  <c r="D60" i="62"/>
  <c r="AH91" i="62"/>
  <c r="G91" i="62"/>
  <c r="AQ35" i="62"/>
  <c r="G45" i="62"/>
  <c r="AN39" i="62"/>
  <c r="J45" i="62"/>
  <c r="V29" i="62"/>
  <c r="D63" i="9" l="1"/>
  <c r="N26" i="8"/>
  <c r="AE41" i="65"/>
  <c r="AN91" i="62"/>
  <c r="AN34" i="65"/>
  <c r="V41" i="65"/>
  <c r="AB43" i="65"/>
  <c r="M41" i="65"/>
  <c r="G43" i="65"/>
  <c r="J41" i="65"/>
  <c r="S41" i="65"/>
  <c r="Y41" i="65"/>
  <c r="D41" i="65"/>
  <c r="AN41" i="65"/>
  <c r="AH41" i="65"/>
  <c r="P41" i="65"/>
  <c r="AK41" i="65"/>
  <c r="AE43" i="65"/>
  <c r="AH64" i="62"/>
  <c r="J64" i="62"/>
  <c r="D62" i="62"/>
  <c r="G62" i="62"/>
  <c r="AN60" i="62"/>
  <c r="AK64" i="62"/>
  <c r="M62" i="62"/>
  <c r="AK62" i="62"/>
  <c r="AB62" i="62"/>
  <c r="V64" i="62"/>
  <c r="AE62" i="62"/>
  <c r="AH62" i="62"/>
  <c r="AQ91" i="62"/>
  <c r="AN45" i="62"/>
  <c r="V62" i="62"/>
  <c r="J62" i="62"/>
  <c r="AQ60" i="62"/>
  <c r="S64" i="62"/>
  <c r="M64" i="62"/>
  <c r="S62" i="62"/>
  <c r="Y62" i="62"/>
  <c r="AQ45" i="62"/>
  <c r="G33" i="4"/>
  <c r="I33" i="4" l="1"/>
  <c r="H33" i="4"/>
  <c r="AK43" i="65"/>
  <c r="P43" i="65"/>
  <c r="AN43" i="65"/>
  <c r="D43" i="65"/>
  <c r="S43" i="65"/>
  <c r="G45" i="65"/>
  <c r="M43" i="65"/>
  <c r="J43" i="65"/>
  <c r="AB45" i="65"/>
  <c r="V43" i="65"/>
  <c r="AE45" i="65"/>
  <c r="AH43" i="65"/>
  <c r="Y43" i="65"/>
  <c r="D64" i="62"/>
  <c r="Y64" i="62"/>
  <c r="AE64" i="62"/>
  <c r="G64" i="62"/>
  <c r="AN62" i="62"/>
  <c r="AB64" i="62"/>
  <c r="P64" i="62"/>
  <c r="AQ62" i="62"/>
  <c r="J33" i="4" l="1"/>
  <c r="Y45" i="65"/>
  <c r="M45" i="65"/>
  <c r="S45" i="65"/>
  <c r="P45" i="65"/>
  <c r="V45" i="65"/>
  <c r="AH45" i="65"/>
  <c r="J45" i="65"/>
  <c r="D45" i="65"/>
  <c r="AK45" i="65"/>
  <c r="AQ64" i="62"/>
  <c r="AN64" i="62"/>
  <c r="K9" i="18"/>
  <c r="K8" i="18"/>
  <c r="AN45" i="65" l="1"/>
  <c r="D22" i="18"/>
  <c r="D29" i="18"/>
  <c r="H124" i="18"/>
  <c r="H10" i="18"/>
  <c r="D7" i="18"/>
  <c r="D10" i="18"/>
  <c r="H116" i="18"/>
  <c r="H117" i="18"/>
  <c r="H121" i="18"/>
  <c r="K7" i="18"/>
  <c r="J88" i="18"/>
  <c r="H109" i="18"/>
  <c r="H113" i="18"/>
  <c r="H125" i="18"/>
  <c r="K113" i="18"/>
  <c r="K99" i="18"/>
  <c r="H7" i="18"/>
  <c r="K11" i="18"/>
  <c r="J67" i="18"/>
  <c r="D99" i="18"/>
  <c r="J109" i="18"/>
  <c r="J112" i="18"/>
  <c r="J116" i="18"/>
  <c r="J121" i="18"/>
  <c r="D28" i="18"/>
  <c r="H34" i="18"/>
  <c r="H35" i="18"/>
  <c r="K78" i="18"/>
  <c r="K108" i="18"/>
  <c r="J113" i="18"/>
  <c r="K120" i="18"/>
  <c r="H108" i="18"/>
  <c r="J35" i="18"/>
  <c r="H11" i="18"/>
  <c r="K109" i="18"/>
  <c r="J117" i="18"/>
  <c r="K12" i="18"/>
  <c r="K112" i="18"/>
  <c r="K117" i="18"/>
  <c r="H12" i="18"/>
  <c r="K35" i="18"/>
  <c r="J124" i="18"/>
  <c r="K10" i="18"/>
  <c r="J34" i="18"/>
  <c r="D67" i="18"/>
  <c r="D88" i="18"/>
  <c r="J99" i="18"/>
  <c r="J120" i="18"/>
  <c r="K121" i="18"/>
  <c r="K124" i="18"/>
  <c r="K28" i="18"/>
  <c r="K34" i="18"/>
  <c r="D124" i="18"/>
  <c r="D48" i="18"/>
  <c r="K67" i="18"/>
  <c r="D120" i="18"/>
  <c r="J11" i="18"/>
  <c r="J108" i="18"/>
  <c r="D112" i="18"/>
  <c r="K116" i="18"/>
  <c r="D116" i="18"/>
  <c r="H22" i="18"/>
  <c r="D78" i="18"/>
  <c r="D108" i="18"/>
  <c r="J125" i="18"/>
  <c r="J9" i="18"/>
  <c r="D9" i="18"/>
  <c r="J28" i="18"/>
  <c r="J12" i="18"/>
  <c r="J7" i="18"/>
  <c r="J10" i="18"/>
  <c r="J8" i="18"/>
  <c r="D8" i="18"/>
  <c r="J78" i="18"/>
  <c r="K125" i="18"/>
  <c r="K88" i="18"/>
  <c r="D87" i="18" l="1"/>
  <c r="H29" i="18"/>
  <c r="D66" i="18"/>
  <c r="K29" i="18"/>
  <c r="K22" i="18"/>
  <c r="D47" i="18"/>
  <c r="J29" i="18"/>
  <c r="H119" i="18"/>
  <c r="K100" i="18"/>
  <c r="J22" i="18"/>
  <c r="K119" i="18"/>
  <c r="L113" i="18"/>
  <c r="L12" i="18"/>
  <c r="K98" i="18"/>
  <c r="L28" i="18"/>
  <c r="L88" i="18"/>
  <c r="L121" i="18"/>
  <c r="L109" i="18"/>
  <c r="L120" i="18"/>
  <c r="L99" i="18"/>
  <c r="L35" i="18"/>
  <c r="J111" i="18"/>
  <c r="H111" i="18"/>
  <c r="L117" i="18"/>
  <c r="L78" i="18"/>
  <c r="L7" i="18"/>
  <c r="L108" i="18"/>
  <c r="L116" i="18"/>
  <c r="L11" i="18"/>
  <c r="L67" i="18"/>
  <c r="K111" i="18"/>
  <c r="L112" i="18"/>
  <c r="L124" i="18"/>
  <c r="D98" i="18"/>
  <c r="L10" i="18"/>
  <c r="J119" i="18"/>
  <c r="D119" i="18"/>
  <c r="L34" i="18"/>
  <c r="L125" i="18"/>
  <c r="D111" i="18"/>
  <c r="K97" i="37"/>
  <c r="J97" i="37"/>
  <c r="D97" i="29"/>
  <c r="K97" i="33"/>
  <c r="K97" i="29"/>
  <c r="J97" i="13"/>
  <c r="J97" i="33"/>
  <c r="L97" i="33" s="1"/>
  <c r="J97" i="29"/>
  <c r="D97" i="37"/>
  <c r="D97" i="13"/>
  <c r="K97" i="13"/>
  <c r="D97" i="33"/>
  <c r="K76" i="37"/>
  <c r="D76" i="33"/>
  <c r="D76" i="37"/>
  <c r="K76" i="29"/>
  <c r="J76" i="13"/>
  <c r="J76" i="37"/>
  <c r="D76" i="29"/>
  <c r="K76" i="33"/>
  <c r="J76" i="33"/>
  <c r="J76" i="29"/>
  <c r="D76" i="13"/>
  <c r="K76" i="13"/>
  <c r="J8" i="37"/>
  <c r="K8" i="37"/>
  <c r="J9" i="37"/>
  <c r="L9" i="37" s="1"/>
  <c r="K9" i="37"/>
  <c r="J36" i="37"/>
  <c r="J37" i="37"/>
  <c r="L8" i="37" l="1"/>
  <c r="L97" i="29"/>
  <c r="L76" i="33"/>
  <c r="L119" i="18"/>
  <c r="L76" i="29"/>
  <c r="D77" i="18"/>
  <c r="H68" i="18"/>
  <c r="J68" i="18"/>
  <c r="J66" i="18"/>
  <c r="L29" i="18"/>
  <c r="K79" i="18"/>
  <c r="K77" i="18"/>
  <c r="L22" i="18"/>
  <c r="L76" i="13"/>
  <c r="D97" i="4"/>
  <c r="D76" i="4"/>
  <c r="L97" i="37"/>
  <c r="K68" i="18"/>
  <c r="L76" i="37"/>
  <c r="K87" i="18"/>
  <c r="K89" i="18"/>
  <c r="L97" i="13"/>
  <c r="H100" i="18"/>
  <c r="J100" i="18"/>
  <c r="L100" i="18" s="1"/>
  <c r="J89" i="18"/>
  <c r="H89" i="18"/>
  <c r="H79" i="18"/>
  <c r="J79" i="18"/>
  <c r="I97" i="4"/>
  <c r="I76" i="4"/>
  <c r="L111" i="18"/>
  <c r="H34" i="37"/>
  <c r="H116" i="37"/>
  <c r="D114" i="37"/>
  <c r="D116" i="37"/>
  <c r="J124" i="37"/>
  <c r="H76" i="4"/>
  <c r="H97" i="4"/>
  <c r="K12" i="37"/>
  <c r="K7" i="37"/>
  <c r="H113" i="37"/>
  <c r="H117" i="37"/>
  <c r="J88" i="37"/>
  <c r="K75" i="37"/>
  <c r="K108" i="37"/>
  <c r="K96" i="37"/>
  <c r="K67" i="37"/>
  <c r="J35" i="37"/>
  <c r="J10" i="37"/>
  <c r="D7" i="37"/>
  <c r="K135" i="37"/>
  <c r="K134" i="37"/>
  <c r="K122" i="37"/>
  <c r="D122" i="37"/>
  <c r="H114" i="37"/>
  <c r="H112" i="37"/>
  <c r="J121" i="37"/>
  <c r="H121" i="37"/>
  <c r="K114" i="37"/>
  <c r="K107" i="37"/>
  <c r="K99" i="37"/>
  <c r="J125" i="37"/>
  <c r="K116" i="37"/>
  <c r="K78" i="37"/>
  <c r="D8" i="37"/>
  <c r="H108" i="37"/>
  <c r="D67" i="37"/>
  <c r="K110" i="37"/>
  <c r="J86" i="37"/>
  <c r="K28" i="37"/>
  <c r="H7" i="37"/>
  <c r="D135" i="37"/>
  <c r="H124" i="37"/>
  <c r="J110" i="37"/>
  <c r="D108" i="37"/>
  <c r="D28" i="37"/>
  <c r="D125" i="37"/>
  <c r="K113" i="37"/>
  <c r="J108" i="37"/>
  <c r="D34" i="37"/>
  <c r="K10" i="37"/>
  <c r="K125" i="37"/>
  <c r="J117" i="37"/>
  <c r="J113" i="37"/>
  <c r="D110" i="37"/>
  <c r="J134" i="37"/>
  <c r="H35" i="37"/>
  <c r="J28" i="37"/>
  <c r="K11" i="37"/>
  <c r="J122" i="37"/>
  <c r="J116" i="37"/>
  <c r="K109" i="37"/>
  <c r="D35" i="37"/>
  <c r="J12" i="37"/>
  <c r="J7" i="37"/>
  <c r="H75" i="37"/>
  <c r="D48" i="37"/>
  <c r="K121" i="37"/>
  <c r="J67" i="37"/>
  <c r="H125" i="37"/>
  <c r="D124" i="37"/>
  <c r="H96" i="37"/>
  <c r="K88" i="37"/>
  <c r="J34" i="37"/>
  <c r="D9" i="37"/>
  <c r="J107" i="37"/>
  <c r="D107" i="37"/>
  <c r="K124" i="37"/>
  <c r="D99" i="37"/>
  <c r="D134" i="37"/>
  <c r="D120" i="37"/>
  <c r="J78" i="37"/>
  <c r="D78" i="37"/>
  <c r="J75" i="37"/>
  <c r="D75" i="37"/>
  <c r="J112" i="37"/>
  <c r="D112" i="37"/>
  <c r="J109" i="37"/>
  <c r="J135" i="37"/>
  <c r="K120" i="37"/>
  <c r="J99" i="37"/>
  <c r="J96" i="37"/>
  <c r="D96" i="37"/>
  <c r="K86" i="37"/>
  <c r="J120" i="37"/>
  <c r="J114" i="37"/>
  <c r="H109" i="37"/>
  <c r="D86" i="37"/>
  <c r="K117" i="37"/>
  <c r="K112" i="37"/>
  <c r="D88" i="37"/>
  <c r="H11" i="37"/>
  <c r="D10" i="37"/>
  <c r="K35" i="37"/>
  <c r="D57" i="37"/>
  <c r="D54" i="37"/>
  <c r="K34" i="37"/>
  <c r="H12" i="37"/>
  <c r="K37" i="37"/>
  <c r="L37" i="37" s="1"/>
  <c r="D37" i="37"/>
  <c r="H10" i="37"/>
  <c r="K36" i="37"/>
  <c r="L36" i="37" s="1"/>
  <c r="D36" i="37"/>
  <c r="J11" i="37"/>
  <c r="L114" i="37" l="1"/>
  <c r="L122" i="37"/>
  <c r="J76" i="4"/>
  <c r="L79" i="18"/>
  <c r="D77" i="37"/>
  <c r="H29" i="37"/>
  <c r="J29" i="37"/>
  <c r="D100" i="37"/>
  <c r="L68" i="18"/>
  <c r="L89" i="18"/>
  <c r="K98" i="37"/>
  <c r="H66" i="18"/>
  <c r="K66" i="18"/>
  <c r="L66" i="18" s="1"/>
  <c r="K77" i="37"/>
  <c r="J79" i="37"/>
  <c r="L110" i="37"/>
  <c r="J97" i="4"/>
  <c r="J100" i="37"/>
  <c r="J66" i="37"/>
  <c r="H87" i="18"/>
  <c r="J87" i="18"/>
  <c r="L87" i="18" s="1"/>
  <c r="H77" i="18"/>
  <c r="J77" i="18"/>
  <c r="L77" i="18" s="1"/>
  <c r="J98" i="18"/>
  <c r="L98" i="18" s="1"/>
  <c r="H98" i="18"/>
  <c r="L116" i="37"/>
  <c r="D89" i="37"/>
  <c r="K22" i="37"/>
  <c r="D49" i="37"/>
  <c r="J22" i="37"/>
  <c r="H22" i="37"/>
  <c r="K29" i="37"/>
  <c r="D29" i="37"/>
  <c r="D22" i="37"/>
  <c r="D87" i="37"/>
  <c r="D56" i="37"/>
  <c r="L88" i="37"/>
  <c r="L124" i="37"/>
  <c r="L12" i="37"/>
  <c r="L78" i="37"/>
  <c r="K111" i="37"/>
  <c r="L7" i="37"/>
  <c r="L135" i="37"/>
  <c r="D53" i="37"/>
  <c r="L28" i="37"/>
  <c r="L96" i="37"/>
  <c r="L34" i="37"/>
  <c r="L109" i="37"/>
  <c r="L67" i="37"/>
  <c r="L99" i="37"/>
  <c r="L108" i="37"/>
  <c r="L134" i="37"/>
  <c r="L10" i="37"/>
  <c r="D47" i="37"/>
  <c r="L107" i="37"/>
  <c r="L75" i="37"/>
  <c r="K119" i="37"/>
  <c r="H111" i="37"/>
  <c r="L86" i="37"/>
  <c r="L121" i="37"/>
  <c r="H119" i="37"/>
  <c r="L35" i="37"/>
  <c r="L120" i="37"/>
  <c r="L11" i="37"/>
  <c r="D119" i="37"/>
  <c r="L117" i="37"/>
  <c r="L125" i="37"/>
  <c r="L113" i="37"/>
  <c r="J111" i="37"/>
  <c r="D111" i="37"/>
  <c r="D66" i="37"/>
  <c r="D98" i="37"/>
  <c r="J119" i="37"/>
  <c r="L112" i="37"/>
  <c r="L29" i="37" l="1"/>
  <c r="K79" i="37"/>
  <c r="L79" i="37" s="1"/>
  <c r="K100" i="37"/>
  <c r="L100" i="37" s="1"/>
  <c r="K87" i="37"/>
  <c r="K89" i="37"/>
  <c r="H68" i="37"/>
  <c r="H79" i="37"/>
  <c r="H100" i="37"/>
  <c r="H77" i="37"/>
  <c r="H98" i="37"/>
  <c r="L22" i="37"/>
  <c r="J68" i="37"/>
  <c r="K68" i="37"/>
  <c r="H89" i="37"/>
  <c r="J89" i="37"/>
  <c r="L89" i="37" s="1"/>
  <c r="L111" i="37"/>
  <c r="L119" i="37"/>
  <c r="H87" i="37" l="1"/>
  <c r="J98" i="37"/>
  <c r="L98" i="37" s="1"/>
  <c r="J77" i="37"/>
  <c r="L77" i="37" s="1"/>
  <c r="L68" i="37"/>
  <c r="J87" i="37"/>
  <c r="L87" i="37" s="1"/>
  <c r="H66" i="37"/>
  <c r="K66" i="37"/>
  <c r="L66" i="37" s="1"/>
  <c r="G14" i="58" l="1"/>
  <c r="C14" i="58"/>
  <c r="B13" i="58"/>
  <c r="F13" i="58"/>
  <c r="F22" i="58"/>
  <c r="B22" i="58"/>
  <c r="G21" i="58"/>
  <c r="C21" i="58"/>
  <c r="F17" i="58"/>
  <c r="B17" i="58"/>
  <c r="F28" i="58"/>
  <c r="B28" i="58"/>
  <c r="C26" i="58"/>
  <c r="G26" i="58"/>
  <c r="F29" i="58"/>
  <c r="B29" i="58"/>
  <c r="F11" i="58"/>
  <c r="B11" i="58"/>
  <c r="C13" i="58"/>
  <c r="G13" i="58"/>
  <c r="F20" i="58"/>
  <c r="B20" i="58"/>
  <c r="G22" i="58"/>
  <c r="C22" i="58"/>
  <c r="G17" i="58"/>
  <c r="C17" i="58"/>
  <c r="G28" i="58"/>
  <c r="C28" i="58"/>
  <c r="G29" i="58"/>
  <c r="C29" i="58"/>
  <c r="G11" i="58"/>
  <c r="C11" i="58"/>
  <c r="B12" i="58"/>
  <c r="F12" i="58"/>
  <c r="B10" i="58"/>
  <c r="F10" i="58"/>
  <c r="F9" i="58"/>
  <c r="B9" i="58"/>
  <c r="F19" i="58"/>
  <c r="B19" i="58"/>
  <c r="G20" i="58"/>
  <c r="C20" i="58"/>
  <c r="F18" i="58"/>
  <c r="B18" i="58"/>
  <c r="F27" i="58"/>
  <c r="B27" i="58"/>
  <c r="F30" i="58"/>
  <c r="B30" i="58"/>
  <c r="F25" i="58"/>
  <c r="B25" i="58"/>
  <c r="C12" i="58"/>
  <c r="G12" i="58"/>
  <c r="F14" i="58"/>
  <c r="B14" i="58"/>
  <c r="G10" i="58"/>
  <c r="C10" i="58"/>
  <c r="C9" i="58"/>
  <c r="G9" i="58"/>
  <c r="G19" i="58"/>
  <c r="C19" i="58"/>
  <c r="G18" i="58"/>
  <c r="C18" i="58"/>
  <c r="F21" i="58"/>
  <c r="B21" i="58"/>
  <c r="G27" i="58"/>
  <c r="C27" i="58"/>
  <c r="G30" i="58"/>
  <c r="C30" i="58"/>
  <c r="F26" i="58"/>
  <c r="B26" i="58"/>
  <c r="G25" i="58"/>
  <c r="C25" i="58"/>
  <c r="C8" i="58" l="1"/>
  <c r="G31" i="4" l="1"/>
  <c r="G23" i="4" l="1"/>
  <c r="G24" i="4"/>
  <c r="G30" i="4"/>
  <c r="G25" i="4"/>
  <c r="G32" i="4"/>
  <c r="D32" i="4"/>
  <c r="D24" i="4"/>
  <c r="I23" i="37"/>
  <c r="I25" i="37"/>
  <c r="I25" i="18"/>
  <c r="I30" i="37"/>
  <c r="I30" i="18"/>
  <c r="I31" i="37"/>
  <c r="I31" i="18"/>
  <c r="G26" i="4"/>
  <c r="D25" i="4"/>
  <c r="I24" i="37"/>
  <c r="I32" i="37"/>
  <c r="I32" i="18"/>
  <c r="D30" i="4"/>
  <c r="D31" i="4"/>
  <c r="E29" i="18" l="1"/>
  <c r="E29" i="23"/>
  <c r="E29" i="29"/>
  <c r="E29" i="33"/>
  <c r="E29" i="20"/>
  <c r="E29" i="24"/>
  <c r="E29" i="37"/>
  <c r="E29" i="13"/>
  <c r="I23" i="18"/>
  <c r="D23" i="4"/>
  <c r="I26" i="4"/>
  <c r="M26" i="29" s="1"/>
  <c r="H26" i="4"/>
  <c r="F26" i="10"/>
  <c r="F16" i="10"/>
  <c r="F34" i="10"/>
  <c r="I26" i="29"/>
  <c r="I26" i="20"/>
  <c r="I26" i="23"/>
  <c r="I26" i="33"/>
  <c r="I26" i="37"/>
  <c r="I26" i="35"/>
  <c r="I26" i="18"/>
  <c r="G16" i="10"/>
  <c r="G26" i="10"/>
  <c r="G34" i="10"/>
  <c r="J26" i="4" l="1"/>
  <c r="M26" i="20"/>
  <c r="M26" i="23"/>
  <c r="M26" i="35"/>
  <c r="M26" i="37"/>
  <c r="M26" i="33"/>
  <c r="M26" i="18"/>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D36" i="58" s="1"/>
  <c r="H26" i="58"/>
  <c r="C33" i="58"/>
  <c r="C16" i="58"/>
  <c r="G24" i="58"/>
  <c r="H16" i="58"/>
  <c r="B8" i="58"/>
  <c r="D8" i="58" s="1"/>
  <c r="B33"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F38" i="58"/>
  <c r="F34" i="58"/>
  <c r="H37" i="58" l="1"/>
  <c r="H34" i="58"/>
  <c r="H36" i="58"/>
  <c r="G32" i="58"/>
  <c r="H38" i="58"/>
  <c r="H35" i="58"/>
  <c r="F32" i="58"/>
  <c r="H32" i="58" l="1"/>
  <c r="D8" i="9" l="1"/>
  <c r="L51" i="10" l="1"/>
  <c r="L36" i="10"/>
  <c r="H11" i="10"/>
  <c r="H16" i="10"/>
  <c r="H26" i="10"/>
  <c r="H34" i="10"/>
  <c r="H36" i="10"/>
  <c r="H38" i="10"/>
  <c r="H45" i="10"/>
  <c r="H49" i="10"/>
  <c r="H51" i="10"/>
  <c r="G56" i="10"/>
  <c r="G60" i="10"/>
  <c r="F60" i="10" l="1"/>
  <c r="F56" i="10"/>
  <c r="H56" i="10" s="1"/>
  <c r="K28" i="10" l="1"/>
  <c r="J28" i="10"/>
  <c r="K9" i="33" l="1"/>
  <c r="K9" i="29"/>
  <c r="K8" i="51"/>
  <c r="K8" i="29"/>
  <c r="K9" i="41"/>
  <c r="K8" i="33"/>
  <c r="K8" i="41"/>
  <c r="K9" i="51"/>
  <c r="K8" i="25"/>
  <c r="K8" i="24"/>
  <c r="K9" i="25"/>
  <c r="K9" i="24"/>
  <c r="K8" i="22"/>
  <c r="K9" i="22"/>
  <c r="B9" i="4"/>
  <c r="C10" i="4"/>
  <c r="B10" i="4"/>
  <c r="B7" i="4"/>
  <c r="K8" i="19"/>
  <c r="J36" i="13"/>
  <c r="K9" i="19"/>
  <c r="K39" i="13"/>
  <c r="K38" i="13"/>
  <c r="K37" i="13"/>
  <c r="B8" i="4"/>
  <c r="J39" i="13"/>
  <c r="J38" i="13"/>
  <c r="J37" i="13"/>
  <c r="K36" i="13"/>
  <c r="K8" i="13"/>
  <c r="K9" i="13"/>
  <c r="L38" i="13" l="1"/>
  <c r="L36" i="13"/>
  <c r="L39" i="13"/>
  <c r="C7" i="4"/>
  <c r="E7" i="72" s="1"/>
  <c r="K8" i="20"/>
  <c r="C8" i="4"/>
  <c r="K9" i="20"/>
  <c r="C9" i="4"/>
  <c r="L37" i="13"/>
  <c r="B16" i="10"/>
  <c r="H39" i="9"/>
  <c r="C36" i="9"/>
  <c r="B15" i="10"/>
  <c r="B33" i="10"/>
  <c r="E48" i="72"/>
  <c r="B41" i="10"/>
  <c r="B20" i="10"/>
  <c r="F42" i="10"/>
  <c r="F25" i="10"/>
  <c r="B44" i="10"/>
  <c r="F13" i="10"/>
  <c r="G19" i="9"/>
  <c r="D28" i="4"/>
  <c r="F20" i="10"/>
  <c r="F30" i="10"/>
  <c r="G36" i="9"/>
  <c r="B25" i="10"/>
  <c r="B13" i="10"/>
  <c r="F9" i="10"/>
  <c r="B30" i="10"/>
  <c r="H17" i="9"/>
  <c r="G15" i="9"/>
  <c r="M65" i="8" s="1"/>
  <c r="F41" i="10"/>
  <c r="F15" i="10"/>
  <c r="F23" i="10"/>
  <c r="B23" i="10"/>
  <c r="G12" i="9"/>
  <c r="G13" i="9"/>
  <c r="H22" i="9"/>
  <c r="C34" i="9"/>
  <c r="G16" i="9"/>
  <c r="M66" i="8" s="1"/>
  <c r="B40" i="9"/>
  <c r="B41" i="9"/>
  <c r="C41" i="9"/>
  <c r="C38" i="9"/>
  <c r="C39" i="9"/>
  <c r="H40" i="9"/>
  <c r="H12" i="9"/>
  <c r="H35" i="9"/>
  <c r="G11" i="9"/>
  <c r="C35" i="9"/>
  <c r="G18" i="9"/>
  <c r="H18" i="9"/>
  <c r="G23" i="9"/>
  <c r="G29" i="9"/>
  <c r="H34" i="9"/>
  <c r="H36" i="9"/>
  <c r="H38" i="9"/>
  <c r="C40" i="9"/>
  <c r="H11" i="9"/>
  <c r="C37" i="9"/>
  <c r="G21" i="9"/>
  <c r="G24" i="9"/>
  <c r="G26" i="9"/>
  <c r="G28" i="9"/>
  <c r="G34" i="9"/>
  <c r="G22" i="9"/>
  <c r="B34" i="9"/>
  <c r="B39" i="9"/>
  <c r="C29" i="9"/>
  <c r="B35" i="9"/>
  <c r="K135" i="26"/>
  <c r="K7" i="35"/>
  <c r="H29" i="29"/>
  <c r="K121" i="13"/>
  <c r="H121" i="33"/>
  <c r="H29" i="20"/>
  <c r="H125" i="33"/>
  <c r="H68" i="29"/>
  <c r="K113" i="33"/>
  <c r="H68" i="35"/>
  <c r="H29" i="13"/>
  <c r="K68" i="20"/>
  <c r="K12" i="29"/>
  <c r="J86" i="29"/>
  <c r="K108" i="33"/>
  <c r="H22" i="33"/>
  <c r="K68" i="33"/>
  <c r="H35" i="29"/>
  <c r="H34" i="13"/>
  <c r="H121" i="27"/>
  <c r="D55" i="39"/>
  <c r="K89" i="27"/>
  <c r="K108" i="27"/>
  <c r="H121" i="35"/>
  <c r="K22" i="51"/>
  <c r="K135" i="34"/>
  <c r="K134" i="26"/>
  <c r="K113" i="29"/>
  <c r="H100" i="29"/>
  <c r="K137" i="26"/>
  <c r="K116" i="29"/>
  <c r="J79" i="29"/>
  <c r="K28" i="51"/>
  <c r="H89" i="29"/>
  <c r="K12" i="33"/>
  <c r="K116" i="33"/>
  <c r="H34" i="33"/>
  <c r="H12" i="33"/>
  <c r="H79" i="27"/>
  <c r="H125" i="29"/>
  <c r="K109" i="20"/>
  <c r="K108" i="23"/>
  <c r="K22" i="23"/>
  <c r="K100" i="27"/>
  <c r="K107" i="33"/>
  <c r="K100" i="33"/>
  <c r="K75" i="33"/>
  <c r="K122" i="33"/>
  <c r="H86" i="35"/>
  <c r="K114" i="33"/>
  <c r="H29" i="33"/>
  <c r="D58" i="39"/>
  <c r="H75" i="33"/>
  <c r="D37" i="13"/>
  <c r="K89" i="20"/>
  <c r="H100" i="20"/>
  <c r="K89" i="23"/>
  <c r="K68" i="23"/>
  <c r="K28" i="24"/>
  <c r="H135" i="26"/>
  <c r="H22" i="29"/>
  <c r="K113" i="35"/>
  <c r="K12" i="35"/>
  <c r="K109" i="35"/>
  <c r="H12" i="35"/>
  <c r="H96" i="33"/>
  <c r="H117" i="33"/>
  <c r="K100" i="20"/>
  <c r="K28" i="25"/>
  <c r="K136" i="34"/>
  <c r="K96" i="33"/>
  <c r="H35" i="33"/>
  <c r="D49" i="33"/>
  <c r="K117" i="33"/>
  <c r="H100" i="27"/>
  <c r="H109" i="35"/>
  <c r="K28" i="23"/>
  <c r="K124" i="33"/>
  <c r="H114" i="33"/>
  <c r="K113" i="20"/>
  <c r="K109" i="27"/>
  <c r="K89" i="33"/>
  <c r="K11" i="35"/>
  <c r="D58" i="33"/>
  <c r="H113" i="35"/>
  <c r="H100" i="23"/>
  <c r="B21" i="10"/>
  <c r="K109" i="23"/>
  <c r="H109" i="27"/>
  <c r="K10" i="35"/>
  <c r="K34" i="13"/>
  <c r="K107" i="13"/>
  <c r="K121" i="23"/>
  <c r="H109" i="23"/>
  <c r="H22" i="23"/>
  <c r="H89" i="35"/>
  <c r="H100" i="33"/>
  <c r="H68" i="33"/>
  <c r="K125" i="33"/>
  <c r="D49" i="39"/>
  <c r="K7" i="13"/>
  <c r="K7" i="19"/>
  <c r="K10" i="29"/>
  <c r="H7" i="23"/>
  <c r="H7" i="29"/>
  <c r="H7" i="33"/>
  <c r="K10" i="33"/>
  <c r="H10" i="13"/>
  <c r="K7" i="23"/>
  <c r="K11" i="33"/>
  <c r="K7" i="29"/>
  <c r="H10" i="35"/>
  <c r="H11" i="13"/>
  <c r="H89" i="20"/>
  <c r="K22" i="13"/>
  <c r="K29" i="13"/>
  <c r="H79" i="13"/>
  <c r="K100" i="13"/>
  <c r="K116" i="13"/>
  <c r="K10" i="13"/>
  <c r="H121" i="13"/>
  <c r="K7" i="20"/>
  <c r="K10" i="20"/>
  <c r="K22" i="24"/>
  <c r="D49" i="26"/>
  <c r="K11" i="29"/>
  <c r="H22" i="35"/>
  <c r="H113" i="29"/>
  <c r="H7" i="35"/>
  <c r="H11" i="35"/>
  <c r="K7" i="33"/>
  <c r="H89" i="33"/>
  <c r="H107" i="33"/>
  <c r="K121" i="33"/>
  <c r="H89" i="13"/>
  <c r="K109" i="13"/>
  <c r="K67" i="13"/>
  <c r="K11" i="13"/>
  <c r="H22" i="20"/>
  <c r="H113" i="33"/>
  <c r="H107" i="35"/>
  <c r="D38" i="13"/>
  <c r="H12" i="23"/>
  <c r="H89" i="27"/>
  <c r="K28" i="29"/>
  <c r="K34" i="29"/>
  <c r="H134" i="26"/>
  <c r="K117" i="29"/>
  <c r="H109" i="20"/>
  <c r="H35" i="35"/>
  <c r="H79" i="23"/>
  <c r="H89" i="23"/>
  <c r="H117" i="23"/>
  <c r="K35" i="29"/>
  <c r="H117" i="29"/>
  <c r="D49" i="13"/>
  <c r="H37" i="9"/>
  <c r="H42" i="9"/>
  <c r="D39" i="13"/>
  <c r="H22" i="13"/>
  <c r="H113" i="20"/>
  <c r="H7" i="13"/>
  <c r="K35" i="13"/>
  <c r="K108" i="13"/>
  <c r="K12" i="13"/>
  <c r="H107" i="13"/>
  <c r="C42" i="9"/>
  <c r="D48" i="13"/>
  <c r="J10" i="13"/>
  <c r="D10" i="13"/>
  <c r="K28" i="13"/>
  <c r="K68" i="13"/>
  <c r="K112" i="13"/>
  <c r="K117" i="13"/>
  <c r="H35" i="13"/>
  <c r="H109" i="13"/>
  <c r="J89" i="13"/>
  <c r="D89" i="13"/>
  <c r="D11" i="13"/>
  <c r="J11" i="13"/>
  <c r="J9" i="19"/>
  <c r="L9" i="19" s="1"/>
  <c r="D9" i="19"/>
  <c r="B33" i="9"/>
  <c r="K113" i="13"/>
  <c r="J9" i="13"/>
  <c r="L9" i="13" s="1"/>
  <c r="D9" i="13"/>
  <c r="H68" i="13"/>
  <c r="G10" i="9"/>
  <c r="J88" i="13"/>
  <c r="D88" i="13"/>
  <c r="H100" i="13"/>
  <c r="H12" i="13"/>
  <c r="C33" i="9"/>
  <c r="H33" i="9"/>
  <c r="G33" i="9"/>
  <c r="D78" i="13"/>
  <c r="J78" i="13"/>
  <c r="J12" i="13"/>
  <c r="D12" i="13"/>
  <c r="K120" i="13"/>
  <c r="J109" i="20"/>
  <c r="L109" i="20" s="1"/>
  <c r="K88" i="13"/>
  <c r="H10" i="9"/>
  <c r="H117" i="13"/>
  <c r="D35" i="13"/>
  <c r="J35" i="13"/>
  <c r="J68" i="13"/>
  <c r="K86" i="13"/>
  <c r="K89" i="13"/>
  <c r="J107" i="13"/>
  <c r="D107" i="13"/>
  <c r="D112" i="13"/>
  <c r="J112" i="13"/>
  <c r="J117" i="13"/>
  <c r="D86" i="13"/>
  <c r="J86" i="13"/>
  <c r="J125" i="13"/>
  <c r="G9" i="9"/>
  <c r="D8" i="20"/>
  <c r="J8" i="20"/>
  <c r="L8" i="20" s="1"/>
  <c r="J79" i="13"/>
  <c r="D99" i="13"/>
  <c r="J99" i="13"/>
  <c r="J124" i="13"/>
  <c r="D124" i="13"/>
  <c r="H108" i="13"/>
  <c r="H113" i="13"/>
  <c r="J68" i="20"/>
  <c r="D68" i="20"/>
  <c r="J100" i="20"/>
  <c r="D100" i="20"/>
  <c r="D36" i="13"/>
  <c r="D54" i="13"/>
  <c r="D108" i="13"/>
  <c r="J108" i="13"/>
  <c r="J113" i="13"/>
  <c r="K124" i="13"/>
  <c r="J7" i="20"/>
  <c r="D7" i="20"/>
  <c r="J7" i="13"/>
  <c r="D7" i="13"/>
  <c r="D22" i="13"/>
  <c r="J22" i="13"/>
  <c r="J29" i="13"/>
  <c r="D29" i="13"/>
  <c r="D57" i="13"/>
  <c r="K78" i="13"/>
  <c r="K99" i="13"/>
  <c r="D109" i="13"/>
  <c r="J109" i="13"/>
  <c r="J120" i="13"/>
  <c r="D120" i="13"/>
  <c r="H125" i="13"/>
  <c r="J10" i="20"/>
  <c r="D10" i="20"/>
  <c r="J7" i="19"/>
  <c r="D7" i="19"/>
  <c r="J28" i="20"/>
  <c r="D28" i="20"/>
  <c r="K79" i="20"/>
  <c r="K121" i="20"/>
  <c r="H77" i="20"/>
  <c r="D54" i="22"/>
  <c r="D22" i="23"/>
  <c r="J22" i="23"/>
  <c r="D28" i="24"/>
  <c r="J28" i="24"/>
  <c r="D28" i="25"/>
  <c r="J28" i="25"/>
  <c r="J100" i="27"/>
  <c r="J112" i="23"/>
  <c r="D112" i="23"/>
  <c r="J22" i="24"/>
  <c r="D22" i="24"/>
  <c r="J88" i="27"/>
  <c r="D88" i="27"/>
  <c r="D8" i="22"/>
  <c r="J8" i="22"/>
  <c r="L8" i="22" s="1"/>
  <c r="D29" i="23"/>
  <c r="J29" i="23"/>
  <c r="K112" i="23"/>
  <c r="D7" i="24"/>
  <c r="J7" i="24"/>
  <c r="J22" i="51"/>
  <c r="L22" i="51" s="1"/>
  <c r="D22" i="51"/>
  <c r="G20" i="9"/>
  <c r="M70" i="8" s="1"/>
  <c r="K11" i="23"/>
  <c r="K35" i="23"/>
  <c r="J117" i="23"/>
  <c r="K29" i="24"/>
  <c r="D48" i="25"/>
  <c r="D9" i="22"/>
  <c r="J9" i="22"/>
  <c r="L9" i="22" s="1"/>
  <c r="K12" i="23"/>
  <c r="K67" i="23"/>
  <c r="D78" i="23"/>
  <c r="K78" i="23"/>
  <c r="J108" i="23"/>
  <c r="D108" i="23"/>
  <c r="H113" i="23"/>
  <c r="J68" i="27"/>
  <c r="K88" i="27"/>
  <c r="H19" i="9"/>
  <c r="D67" i="29"/>
  <c r="K67" i="29"/>
  <c r="J75" i="33"/>
  <c r="D75" i="33"/>
  <c r="D48" i="26"/>
  <c r="K67" i="27"/>
  <c r="J79" i="27"/>
  <c r="J121" i="27"/>
  <c r="D48" i="51"/>
  <c r="D53" i="40"/>
  <c r="D54" i="40"/>
  <c r="J28" i="29"/>
  <c r="D28" i="29"/>
  <c r="D136" i="26"/>
  <c r="J136" i="26"/>
  <c r="H68" i="27"/>
  <c r="H117" i="27"/>
  <c r="K10" i="41"/>
  <c r="D7" i="29"/>
  <c r="J7" i="29"/>
  <c r="J10" i="35"/>
  <c r="D8" i="41"/>
  <c r="J12" i="29"/>
  <c r="D9" i="41"/>
  <c r="H12" i="29"/>
  <c r="J109" i="29"/>
  <c r="D109" i="29"/>
  <c r="K120" i="29"/>
  <c r="D68" i="29"/>
  <c r="J68" i="29"/>
  <c r="D86" i="29"/>
  <c r="K86" i="29"/>
  <c r="K89" i="29"/>
  <c r="K107" i="29"/>
  <c r="J112" i="29"/>
  <c r="D112" i="29"/>
  <c r="D116" i="29"/>
  <c r="J116" i="29"/>
  <c r="H121" i="29"/>
  <c r="J7" i="35"/>
  <c r="K22" i="35"/>
  <c r="K29" i="35"/>
  <c r="J10" i="33"/>
  <c r="D10" i="33"/>
  <c r="J68" i="33"/>
  <c r="D68" i="33"/>
  <c r="J125" i="35"/>
  <c r="D54" i="33"/>
  <c r="J86" i="35"/>
  <c r="J89" i="35"/>
  <c r="J107" i="35"/>
  <c r="D57" i="33"/>
  <c r="K78" i="33"/>
  <c r="K77" i="33"/>
  <c r="K112" i="33"/>
  <c r="K121" i="35"/>
  <c r="J8" i="33"/>
  <c r="L8" i="33" s="1"/>
  <c r="D8" i="33"/>
  <c r="H11" i="33"/>
  <c r="K35" i="33"/>
  <c r="D96" i="33"/>
  <c r="J96" i="33"/>
  <c r="J108" i="33"/>
  <c r="D108" i="33"/>
  <c r="D124" i="33"/>
  <c r="J124" i="33"/>
  <c r="L124" i="33" s="1"/>
  <c r="K110" i="33"/>
  <c r="D116" i="33"/>
  <c r="J116" i="33"/>
  <c r="D54" i="39"/>
  <c r="J8" i="13"/>
  <c r="L8" i="13" s="1"/>
  <c r="D8" i="13"/>
  <c r="J28" i="13"/>
  <c r="D28" i="13"/>
  <c r="J34" i="13"/>
  <c r="D34" i="13"/>
  <c r="D67" i="13"/>
  <c r="J67" i="13"/>
  <c r="K79" i="13"/>
  <c r="D100" i="13"/>
  <c r="J100" i="13"/>
  <c r="J116" i="13"/>
  <c r="D116" i="13"/>
  <c r="J121" i="13"/>
  <c r="D113" i="20"/>
  <c r="J113" i="20"/>
  <c r="K125" i="13"/>
  <c r="J8" i="19"/>
  <c r="L8" i="19" s="1"/>
  <c r="D8" i="19"/>
  <c r="D79" i="20"/>
  <c r="J79" i="20"/>
  <c r="J121" i="20"/>
  <c r="D121" i="20"/>
  <c r="D57" i="22"/>
  <c r="J9" i="20"/>
  <c r="L9" i="20" s="1"/>
  <c r="D9" i="20"/>
  <c r="H68" i="20"/>
  <c r="K22" i="20"/>
  <c r="K29" i="20"/>
  <c r="H79" i="20"/>
  <c r="H121" i="20"/>
  <c r="J113" i="23"/>
  <c r="J125" i="27"/>
  <c r="K7" i="22"/>
  <c r="J12" i="35"/>
  <c r="D49" i="22"/>
  <c r="J10" i="23"/>
  <c r="J34" i="23"/>
  <c r="K113" i="23"/>
  <c r="J125" i="23"/>
  <c r="J8" i="24"/>
  <c r="L8" i="24" s="1"/>
  <c r="D8" i="24"/>
  <c r="J7" i="25"/>
  <c r="D7" i="25"/>
  <c r="J12" i="23"/>
  <c r="J78" i="23"/>
  <c r="K7" i="24"/>
  <c r="D10" i="24"/>
  <c r="J10" i="24"/>
  <c r="H29" i="23"/>
  <c r="J68" i="23"/>
  <c r="K79" i="23"/>
  <c r="J88" i="23"/>
  <c r="D88" i="23"/>
  <c r="K99" i="23"/>
  <c r="J109" i="23"/>
  <c r="K120" i="23"/>
  <c r="K10" i="24"/>
  <c r="D48" i="40"/>
  <c r="J29" i="29"/>
  <c r="D29" i="29"/>
  <c r="D112" i="27"/>
  <c r="J112" i="27"/>
  <c r="J117" i="27"/>
  <c r="D48" i="41"/>
  <c r="K68" i="27"/>
  <c r="K112" i="27"/>
  <c r="K117" i="27"/>
  <c r="D134" i="26"/>
  <c r="J134" i="26"/>
  <c r="D137" i="26"/>
  <c r="J137" i="26"/>
  <c r="H113" i="27"/>
  <c r="K7" i="51"/>
  <c r="K10" i="51"/>
  <c r="J78" i="29"/>
  <c r="D78" i="29"/>
  <c r="J22" i="29"/>
  <c r="D22" i="29"/>
  <c r="K68" i="29"/>
  <c r="J88" i="29"/>
  <c r="D88" i="29"/>
  <c r="J11" i="33"/>
  <c r="J121" i="29"/>
  <c r="J134" i="34"/>
  <c r="D134" i="34"/>
  <c r="H29" i="35"/>
  <c r="K108" i="29"/>
  <c r="D48" i="34"/>
  <c r="J22" i="35"/>
  <c r="J29" i="35"/>
  <c r="H77" i="29"/>
  <c r="H107" i="29"/>
  <c r="K112" i="29"/>
  <c r="J117" i="29"/>
  <c r="J135" i="34"/>
  <c r="D135" i="34"/>
  <c r="K34" i="35"/>
  <c r="J117" i="35"/>
  <c r="J9" i="33"/>
  <c r="L9" i="33" s="1"/>
  <c r="D9" i="33"/>
  <c r="J78" i="33"/>
  <c r="D78" i="33"/>
  <c r="J22" i="33"/>
  <c r="D22" i="33"/>
  <c r="J29" i="33"/>
  <c r="D29" i="33"/>
  <c r="J67" i="33"/>
  <c r="K79" i="33"/>
  <c r="H41" i="9"/>
  <c r="K86" i="35"/>
  <c r="K89" i="35"/>
  <c r="K107" i="35"/>
  <c r="H117" i="35"/>
  <c r="H77" i="33"/>
  <c r="J99" i="33"/>
  <c r="D99" i="33"/>
  <c r="D109" i="33"/>
  <c r="J109" i="33"/>
  <c r="D48" i="38"/>
  <c r="G42" i="9"/>
  <c r="H29" i="9"/>
  <c r="J112" i="33"/>
  <c r="D112" i="33"/>
  <c r="J117" i="33"/>
  <c r="D48" i="39"/>
  <c r="D47" i="39"/>
  <c r="D56" i="21"/>
  <c r="D57" i="21"/>
  <c r="K28" i="20"/>
  <c r="J89" i="20"/>
  <c r="D89" i="20"/>
  <c r="J28" i="23"/>
  <c r="D28" i="23"/>
  <c r="D48" i="21"/>
  <c r="D57" i="25"/>
  <c r="J11" i="23"/>
  <c r="J35" i="23"/>
  <c r="J8" i="25"/>
  <c r="L8" i="25" s="1"/>
  <c r="D8" i="25"/>
  <c r="J9" i="51"/>
  <c r="L9" i="51" s="1"/>
  <c r="D9" i="51"/>
  <c r="K29" i="23"/>
  <c r="J67" i="23"/>
  <c r="D67" i="23"/>
  <c r="J79" i="23"/>
  <c r="J99" i="23"/>
  <c r="D99" i="23"/>
  <c r="J120" i="23"/>
  <c r="D120" i="23"/>
  <c r="K125" i="23"/>
  <c r="K7" i="25"/>
  <c r="D48" i="22"/>
  <c r="H10" i="23"/>
  <c r="H34" i="23"/>
  <c r="J89" i="23"/>
  <c r="K100" i="23"/>
  <c r="K116" i="23"/>
  <c r="J121" i="23"/>
  <c r="H125" i="23"/>
  <c r="J9" i="24"/>
  <c r="L9" i="24" s="1"/>
  <c r="D9" i="24"/>
  <c r="D54" i="25"/>
  <c r="D99" i="27"/>
  <c r="J99" i="27"/>
  <c r="J113" i="27"/>
  <c r="D57" i="41"/>
  <c r="K113" i="27"/>
  <c r="J7" i="51"/>
  <c r="L7" i="51" s="1"/>
  <c r="D7" i="51"/>
  <c r="D10" i="51"/>
  <c r="J10" i="51"/>
  <c r="H21" i="9"/>
  <c r="J34" i="29"/>
  <c r="D34" i="29"/>
  <c r="K78" i="27"/>
  <c r="K77" i="27"/>
  <c r="K120" i="27"/>
  <c r="H125" i="27"/>
  <c r="K7" i="41"/>
  <c r="D10" i="29"/>
  <c r="J10" i="29"/>
  <c r="J89" i="29"/>
  <c r="D89" i="29"/>
  <c r="J11" i="35"/>
  <c r="H10" i="29"/>
  <c r="K22" i="29"/>
  <c r="K29" i="29"/>
  <c r="J120" i="29"/>
  <c r="D120" i="29"/>
  <c r="J107" i="29"/>
  <c r="D107" i="29"/>
  <c r="H34" i="35"/>
  <c r="K78" i="29"/>
  <c r="K99" i="29"/>
  <c r="K109" i="29"/>
  <c r="J125" i="29"/>
  <c r="K134" i="34"/>
  <c r="J34" i="35"/>
  <c r="J68" i="35"/>
  <c r="H27" i="9"/>
  <c r="H79" i="29"/>
  <c r="J113" i="29"/>
  <c r="K125" i="29"/>
  <c r="K35" i="35"/>
  <c r="K68" i="35"/>
  <c r="D48" i="33"/>
  <c r="K117" i="35"/>
  <c r="G63" i="9"/>
  <c r="I63" i="9" s="1"/>
  <c r="D67" i="33"/>
  <c r="K67" i="33"/>
  <c r="J79" i="33"/>
  <c r="D79" i="33"/>
  <c r="K125" i="35"/>
  <c r="J28" i="33"/>
  <c r="D28" i="33"/>
  <c r="J34" i="33"/>
  <c r="K86" i="33"/>
  <c r="D122" i="33"/>
  <c r="J122" i="33"/>
  <c r="J113" i="35"/>
  <c r="K22" i="33"/>
  <c r="K29" i="33"/>
  <c r="H79" i="33"/>
  <c r="J88" i="33"/>
  <c r="D88" i="33"/>
  <c r="J100" i="33"/>
  <c r="D100" i="33"/>
  <c r="K120" i="33"/>
  <c r="D113" i="33"/>
  <c r="J113" i="33"/>
  <c r="D57" i="39"/>
  <c r="D54" i="21"/>
  <c r="D53" i="21"/>
  <c r="J22" i="20"/>
  <c r="D22" i="20"/>
  <c r="J29" i="20"/>
  <c r="D29" i="20"/>
  <c r="D48" i="20"/>
  <c r="K77" i="20"/>
  <c r="J7" i="23"/>
  <c r="G14" i="9"/>
  <c r="K88" i="23"/>
  <c r="J35" i="29"/>
  <c r="D7" i="22"/>
  <c r="J7" i="22"/>
  <c r="H121" i="23"/>
  <c r="J29" i="24"/>
  <c r="D29" i="24"/>
  <c r="J89" i="27"/>
  <c r="K10" i="23"/>
  <c r="K34" i="23"/>
  <c r="H68" i="23"/>
  <c r="J100" i="23"/>
  <c r="D116" i="23"/>
  <c r="J116" i="23"/>
  <c r="J108" i="27"/>
  <c r="D108" i="27"/>
  <c r="J28" i="51"/>
  <c r="L28" i="51" s="1"/>
  <c r="D28" i="51"/>
  <c r="H11" i="23"/>
  <c r="H35" i="23"/>
  <c r="K117" i="23"/>
  <c r="J9" i="25"/>
  <c r="L9" i="25" s="1"/>
  <c r="D9" i="25"/>
  <c r="H77" i="27"/>
  <c r="J109" i="27"/>
  <c r="D67" i="27"/>
  <c r="J67" i="27"/>
  <c r="K99" i="27"/>
  <c r="K125" i="27"/>
  <c r="K136" i="26"/>
  <c r="J78" i="27"/>
  <c r="D78" i="27"/>
  <c r="D120" i="27"/>
  <c r="J120" i="27"/>
  <c r="J8" i="51"/>
  <c r="L8" i="51" s="1"/>
  <c r="D8" i="51"/>
  <c r="G17" i="9"/>
  <c r="D135" i="26"/>
  <c r="J135" i="26"/>
  <c r="K79" i="27"/>
  <c r="K121" i="27"/>
  <c r="D57" i="40"/>
  <c r="D54" i="41"/>
  <c r="D53" i="41"/>
  <c r="L7" i="41"/>
  <c r="D7" i="41"/>
  <c r="L10" i="41"/>
  <c r="D10" i="41"/>
  <c r="J8" i="29"/>
  <c r="L8" i="29" s="1"/>
  <c r="D8" i="29"/>
  <c r="J11" i="29"/>
  <c r="J99" i="29"/>
  <c r="D99" i="29"/>
  <c r="D120" i="33"/>
  <c r="J120" i="33"/>
  <c r="D9" i="29"/>
  <c r="J9" i="29"/>
  <c r="L9" i="29" s="1"/>
  <c r="H11" i="29"/>
  <c r="H34" i="29"/>
  <c r="J100" i="29"/>
  <c r="D100" i="29"/>
  <c r="J136" i="34"/>
  <c r="D136" i="34"/>
  <c r="J108" i="29"/>
  <c r="D108" i="29"/>
  <c r="J12" i="33"/>
  <c r="D125" i="33"/>
  <c r="J125" i="33"/>
  <c r="J67" i="29"/>
  <c r="D79" i="29"/>
  <c r="K79" i="29"/>
  <c r="K88" i="29"/>
  <c r="K100" i="29"/>
  <c r="K121" i="29"/>
  <c r="J35" i="35"/>
  <c r="K99" i="33"/>
  <c r="K98" i="33"/>
  <c r="H86" i="29"/>
  <c r="H109" i="29"/>
  <c r="K88" i="33"/>
  <c r="J86" i="33"/>
  <c r="D121" i="33"/>
  <c r="J121" i="33"/>
  <c r="J121" i="35"/>
  <c r="J35" i="33"/>
  <c r="D35" i="33"/>
  <c r="J109" i="35"/>
  <c r="H125" i="35"/>
  <c r="J7" i="33"/>
  <c r="D7" i="33"/>
  <c r="H10" i="33"/>
  <c r="K28" i="33"/>
  <c r="K34" i="33"/>
  <c r="H86" i="33"/>
  <c r="J89" i="33"/>
  <c r="D89" i="33"/>
  <c r="J107" i="33"/>
  <c r="J110" i="33"/>
  <c r="D110" i="33"/>
  <c r="K109" i="33"/>
  <c r="H109" i="33"/>
  <c r="J114" i="33"/>
  <c r="D114" i="33"/>
  <c r="G27" i="9"/>
  <c r="B9" i="10"/>
  <c r="B10" i="10"/>
  <c r="F21" i="10"/>
  <c r="F10" i="10"/>
  <c r="F31" i="10"/>
  <c r="B26" i="10"/>
  <c r="L110" i="33" l="1"/>
  <c r="E28" i="25"/>
  <c r="E28" i="13"/>
  <c r="I109" i="4"/>
  <c r="D34" i="4"/>
  <c r="E28" i="29"/>
  <c r="D35" i="4"/>
  <c r="E34" i="29"/>
  <c r="E34" i="37"/>
  <c r="E34" i="13"/>
  <c r="E28" i="20"/>
  <c r="E28" i="37"/>
  <c r="E28" i="23"/>
  <c r="E28" i="51"/>
  <c r="E28" i="24"/>
  <c r="E28" i="18"/>
  <c r="E28" i="33"/>
  <c r="L125" i="35"/>
  <c r="L7" i="35"/>
  <c r="L10" i="51"/>
  <c r="D38" i="4"/>
  <c r="E35" i="13"/>
  <c r="E35" i="37"/>
  <c r="E35" i="33"/>
  <c r="B34" i="10"/>
  <c r="H77" i="13"/>
  <c r="B49" i="10"/>
  <c r="B43" i="10"/>
  <c r="B11" i="10"/>
  <c r="B32" i="10"/>
  <c r="F32" i="10"/>
  <c r="E47" i="72"/>
  <c r="B38" i="10"/>
  <c r="F43" i="10"/>
  <c r="B22" i="10"/>
  <c r="B42" i="10"/>
  <c r="E99" i="18"/>
  <c r="E116" i="18"/>
  <c r="D29" i="4"/>
  <c r="E88" i="18"/>
  <c r="E9" i="18"/>
  <c r="E9" i="72"/>
  <c r="E67" i="18"/>
  <c r="E8" i="18"/>
  <c r="E112" i="18"/>
  <c r="E108" i="18"/>
  <c r="E120" i="18"/>
  <c r="E78" i="18"/>
  <c r="E124" i="18"/>
  <c r="D37" i="4"/>
  <c r="D36" i="4"/>
  <c r="D39" i="4"/>
  <c r="B31" i="10"/>
  <c r="H119" i="20"/>
  <c r="D110" i="4"/>
  <c r="L117" i="35"/>
  <c r="L122" i="33"/>
  <c r="L135" i="26"/>
  <c r="E38" i="13"/>
  <c r="E39" i="13"/>
  <c r="H111" i="35"/>
  <c r="L113" i="35"/>
  <c r="D122" i="4"/>
  <c r="H119" i="35"/>
  <c r="D47" i="34"/>
  <c r="L121" i="13"/>
  <c r="L108" i="33"/>
  <c r="L121" i="35"/>
  <c r="E48" i="37"/>
  <c r="E48" i="18"/>
  <c r="I11" i="37"/>
  <c r="I11" i="18"/>
  <c r="E54" i="37"/>
  <c r="I34" i="37"/>
  <c r="I34" i="18"/>
  <c r="I117" i="37"/>
  <c r="I117" i="18"/>
  <c r="E22" i="37"/>
  <c r="E22" i="18"/>
  <c r="I109" i="37"/>
  <c r="I109" i="18"/>
  <c r="E7" i="37"/>
  <c r="E7" i="18"/>
  <c r="E134" i="37"/>
  <c r="I89" i="37"/>
  <c r="I89" i="18"/>
  <c r="I10" i="37"/>
  <c r="I10" i="18"/>
  <c r="I125" i="37"/>
  <c r="I125" i="18"/>
  <c r="I124" i="37"/>
  <c r="I124" i="18"/>
  <c r="I113" i="37"/>
  <c r="I113" i="18"/>
  <c r="I68" i="37"/>
  <c r="I68" i="18"/>
  <c r="I114" i="37"/>
  <c r="I96" i="37"/>
  <c r="E75" i="37"/>
  <c r="E36" i="37"/>
  <c r="E49" i="37"/>
  <c r="I100" i="37"/>
  <c r="I100" i="18"/>
  <c r="E89" i="37"/>
  <c r="D114" i="4"/>
  <c r="I12" i="37"/>
  <c r="I12" i="18"/>
  <c r="E37" i="37"/>
  <c r="I22" i="37"/>
  <c r="I22" i="18"/>
  <c r="I121" i="37"/>
  <c r="I121" i="18"/>
  <c r="I29" i="37"/>
  <c r="I29" i="18"/>
  <c r="I79" i="37"/>
  <c r="I79" i="18"/>
  <c r="I116" i="37"/>
  <c r="I116" i="18"/>
  <c r="I35" i="37"/>
  <c r="I35" i="18"/>
  <c r="I75" i="37"/>
  <c r="E135" i="37"/>
  <c r="I112" i="37"/>
  <c r="I108" i="37"/>
  <c r="I108" i="18"/>
  <c r="E10" i="37"/>
  <c r="E10" i="18"/>
  <c r="E57" i="37"/>
  <c r="I7" i="37"/>
  <c r="I7" i="18"/>
  <c r="E96" i="37"/>
  <c r="L114" i="33"/>
  <c r="H77" i="23"/>
  <c r="K77" i="23"/>
  <c r="D47" i="21"/>
  <c r="D47" i="20"/>
  <c r="L107" i="29"/>
  <c r="L134" i="26"/>
  <c r="L109" i="23"/>
  <c r="L113" i="33"/>
  <c r="L12" i="33"/>
  <c r="D56" i="22"/>
  <c r="H111" i="20"/>
  <c r="D56" i="41"/>
  <c r="E100" i="37"/>
  <c r="E122" i="37"/>
  <c r="E78" i="37"/>
  <c r="E114" i="37"/>
  <c r="E9" i="37"/>
  <c r="E124" i="37"/>
  <c r="E8" i="37"/>
  <c r="E67" i="37"/>
  <c r="E116" i="37"/>
  <c r="E125" i="37"/>
  <c r="E99" i="37"/>
  <c r="E112" i="37"/>
  <c r="E110" i="37"/>
  <c r="E107" i="37"/>
  <c r="E88" i="37"/>
  <c r="E86" i="37"/>
  <c r="E108" i="37"/>
  <c r="E120" i="37"/>
  <c r="H66" i="27"/>
  <c r="D47" i="38"/>
  <c r="L96" i="33"/>
  <c r="L113" i="29"/>
  <c r="L89" i="23"/>
  <c r="L75" i="33"/>
  <c r="L68" i="20"/>
  <c r="L136" i="34"/>
  <c r="H98" i="20"/>
  <c r="L68" i="33"/>
  <c r="L68" i="23"/>
  <c r="L28" i="24"/>
  <c r="H98" i="29"/>
  <c r="K98" i="29"/>
  <c r="L89" i="20"/>
  <c r="L22" i="23"/>
  <c r="K98" i="20"/>
  <c r="L120" i="33"/>
  <c r="K87" i="29"/>
  <c r="L137" i="26"/>
  <c r="D47" i="40"/>
  <c r="L89" i="27"/>
  <c r="K66" i="27"/>
  <c r="L113" i="20"/>
  <c r="L28" i="23"/>
  <c r="L12" i="29"/>
  <c r="D53" i="13"/>
  <c r="K87" i="33"/>
  <c r="K87" i="23"/>
  <c r="L89" i="33"/>
  <c r="H87" i="29"/>
  <c r="L135" i="34"/>
  <c r="L109" i="27"/>
  <c r="L10" i="29"/>
  <c r="L7" i="33"/>
  <c r="H98" i="27"/>
  <c r="H66" i="23"/>
  <c r="L35" i="29"/>
  <c r="D56" i="39"/>
  <c r="L11" i="35"/>
  <c r="H87" i="35"/>
  <c r="L116" i="29"/>
  <c r="L11" i="29"/>
  <c r="D47" i="41"/>
  <c r="H111" i="13"/>
  <c r="L108" i="27"/>
  <c r="L35" i="23"/>
  <c r="N139" i="8"/>
  <c r="C11" i="9"/>
  <c r="N114" i="8"/>
  <c r="C23" i="9"/>
  <c r="C12" i="9"/>
  <c r="C21" i="9"/>
  <c r="C26" i="9"/>
  <c r="K119" i="20"/>
  <c r="K111" i="13"/>
  <c r="L107" i="33"/>
  <c r="L100" i="33"/>
  <c r="L100" i="20"/>
  <c r="N142" i="8"/>
  <c r="M114" i="8"/>
  <c r="L108" i="13"/>
  <c r="D56" i="40"/>
  <c r="N143" i="8"/>
  <c r="L109" i="35"/>
  <c r="H119" i="23"/>
  <c r="L116" i="33"/>
  <c r="L100" i="27"/>
  <c r="C18" i="9"/>
  <c r="D53" i="22"/>
  <c r="L35" i="33"/>
  <c r="L67" i="29"/>
  <c r="L29" i="20"/>
  <c r="L116" i="23"/>
  <c r="L12" i="35"/>
  <c r="H87" i="27"/>
  <c r="L108" i="23"/>
  <c r="L28" i="25"/>
  <c r="H98" i="13"/>
  <c r="K111" i="29"/>
  <c r="D47" i="33"/>
  <c r="D56" i="25"/>
  <c r="L117" i="33"/>
  <c r="L10" i="35"/>
  <c r="L12" i="13"/>
  <c r="K66" i="35"/>
  <c r="N137" i="8"/>
  <c r="L99" i="23"/>
  <c r="L7" i="20"/>
  <c r="K119" i="13"/>
  <c r="M116" i="8"/>
  <c r="K66" i="23"/>
  <c r="K87" i="35"/>
  <c r="M111" i="8"/>
  <c r="L11" i="33"/>
  <c r="H119" i="13"/>
  <c r="C13" i="9"/>
  <c r="N141" i="8"/>
  <c r="L7" i="13"/>
  <c r="M140" i="8"/>
  <c r="N136" i="8"/>
  <c r="B27" i="9"/>
  <c r="M117" i="8"/>
  <c r="M141" i="8"/>
  <c r="N113" i="8"/>
  <c r="N138" i="8"/>
  <c r="N144" i="8"/>
  <c r="C27" i="9"/>
  <c r="C20" i="9"/>
  <c r="C16" i="9"/>
  <c r="M113" i="8"/>
  <c r="B10" i="9"/>
  <c r="B14" i="9"/>
  <c r="M118" i="8"/>
  <c r="H119" i="33"/>
  <c r="L125" i="33"/>
  <c r="L121" i="23"/>
  <c r="M115" i="8"/>
  <c r="M139" i="8"/>
  <c r="L116" i="13"/>
  <c r="N117" i="8"/>
  <c r="L10" i="33"/>
  <c r="C17" i="9"/>
  <c r="B17" i="9"/>
  <c r="L22" i="13"/>
  <c r="L107" i="13"/>
  <c r="B9" i="9"/>
  <c r="L10" i="13"/>
  <c r="L121" i="33"/>
  <c r="C24" i="9"/>
  <c r="K98" i="27"/>
  <c r="H87" i="23"/>
  <c r="L29" i="24"/>
  <c r="L7" i="23"/>
  <c r="H87" i="33"/>
  <c r="L120" i="29"/>
  <c r="D47" i="22"/>
  <c r="L11" i="23"/>
  <c r="L117" i="29"/>
  <c r="B22" i="9"/>
  <c r="N115" i="8"/>
  <c r="K119" i="23"/>
  <c r="L34" i="13"/>
  <c r="M143" i="8"/>
  <c r="B20" i="9"/>
  <c r="B18" i="9"/>
  <c r="N140" i="8"/>
  <c r="L22" i="24"/>
  <c r="L7" i="19"/>
  <c r="N111" i="8"/>
  <c r="M112" i="8"/>
  <c r="C9" i="9"/>
  <c r="L11" i="13"/>
  <c r="C10" i="9"/>
  <c r="M136" i="8"/>
  <c r="C28" i="9"/>
  <c r="F14" i="10"/>
  <c r="E48" i="39"/>
  <c r="I89" i="20"/>
  <c r="I89" i="13"/>
  <c r="I89" i="29"/>
  <c r="I89" i="35"/>
  <c r="I89" i="33"/>
  <c r="I89" i="27"/>
  <c r="I89" i="23"/>
  <c r="G23" i="10"/>
  <c r="I35" i="23"/>
  <c r="I35" i="29"/>
  <c r="I35" i="35"/>
  <c r="I35" i="33"/>
  <c r="I35" i="13"/>
  <c r="G42" i="10"/>
  <c r="I134" i="26"/>
  <c r="G15" i="10"/>
  <c r="I10" i="23"/>
  <c r="I10" i="35"/>
  <c r="I10" i="29"/>
  <c r="I10" i="33"/>
  <c r="I10" i="13"/>
  <c r="G20" i="10"/>
  <c r="E49" i="39"/>
  <c r="I23" i="33"/>
  <c r="I23" i="13"/>
  <c r="I23" i="23"/>
  <c r="I23" i="29"/>
  <c r="I23" i="35"/>
  <c r="E54" i="39"/>
  <c r="I114" i="33"/>
  <c r="C25" i="10"/>
  <c r="C31" i="10"/>
  <c r="C9" i="10"/>
  <c r="C23" i="10"/>
  <c r="G44" i="10"/>
  <c r="C41" i="10"/>
  <c r="I86" i="29"/>
  <c r="I86" i="33"/>
  <c r="I86" i="35"/>
  <c r="C21" i="10"/>
  <c r="C33" i="10"/>
  <c r="C16" i="10"/>
  <c r="H15" i="9"/>
  <c r="N65" i="8" s="1"/>
  <c r="B13" i="9"/>
  <c r="M144" i="8"/>
  <c r="B11" i="9"/>
  <c r="H63" i="9"/>
  <c r="H16" i="9"/>
  <c r="N66" i="8" s="1"/>
  <c r="M138" i="8"/>
  <c r="N112" i="8"/>
  <c r="G38" i="9"/>
  <c r="I29" i="33"/>
  <c r="I29" i="20"/>
  <c r="I29" i="23"/>
  <c r="I29" i="29"/>
  <c r="I29" i="13"/>
  <c r="I29" i="35"/>
  <c r="G21" i="10"/>
  <c r="I25" i="20"/>
  <c r="I25" i="23"/>
  <c r="I25" i="29"/>
  <c r="I25" i="33"/>
  <c r="I25" i="13"/>
  <c r="I30" i="23"/>
  <c r="I30" i="29"/>
  <c r="I30" i="35"/>
  <c r="I30" i="33"/>
  <c r="I30" i="13"/>
  <c r="C30" i="10"/>
  <c r="I107" i="13"/>
  <c r="I107" i="29"/>
  <c r="I107" i="35"/>
  <c r="I107" i="33"/>
  <c r="C44" i="10"/>
  <c r="I75" i="33"/>
  <c r="G14" i="10"/>
  <c r="I32" i="13"/>
  <c r="I32" i="20"/>
  <c r="I32" i="23"/>
  <c r="I32" i="29"/>
  <c r="I32" i="33"/>
  <c r="I100" i="13"/>
  <c r="I100" i="20"/>
  <c r="I100" i="23"/>
  <c r="I100" i="27"/>
  <c r="I100" i="29"/>
  <c r="I100" i="33"/>
  <c r="I22" i="23"/>
  <c r="I22" i="29"/>
  <c r="I22" i="35"/>
  <c r="I22" i="33"/>
  <c r="I22" i="20"/>
  <c r="I22" i="13"/>
  <c r="G10" i="10"/>
  <c r="C34" i="10"/>
  <c r="I121" i="20"/>
  <c r="I121" i="13"/>
  <c r="I121" i="23"/>
  <c r="I121" i="35"/>
  <c r="I121" i="27"/>
  <c r="I121" i="33"/>
  <c r="I121" i="29"/>
  <c r="I113" i="20"/>
  <c r="I113" i="23"/>
  <c r="I113" i="13"/>
  <c r="I113" i="27"/>
  <c r="I113" i="35"/>
  <c r="I113" i="33"/>
  <c r="I113" i="29"/>
  <c r="I108" i="13"/>
  <c r="M142" i="8"/>
  <c r="N116" i="8"/>
  <c r="B37" i="9"/>
  <c r="B12" i="9"/>
  <c r="B29" i="9"/>
  <c r="G41" i="9"/>
  <c r="B38" i="9"/>
  <c r="H20" i="9"/>
  <c r="N70" i="8" s="1"/>
  <c r="C14" i="9"/>
  <c r="B28" i="9"/>
  <c r="H26" i="9"/>
  <c r="B36" i="9"/>
  <c r="B16" i="9"/>
  <c r="G33" i="10"/>
  <c r="I7" i="29"/>
  <c r="I7" i="33"/>
  <c r="I7" i="23"/>
  <c r="I7" i="35"/>
  <c r="I7" i="13"/>
  <c r="G9" i="10"/>
  <c r="B45" i="10"/>
  <c r="I31" i="35"/>
  <c r="I31" i="13"/>
  <c r="I31" i="33"/>
  <c r="I31" i="23"/>
  <c r="I31" i="29"/>
  <c r="C45" i="10"/>
  <c r="C42" i="10"/>
  <c r="I24" i="13"/>
  <c r="I24" i="33"/>
  <c r="C15" i="10"/>
  <c r="B26" i="9"/>
  <c r="B19" i="9"/>
  <c r="H14" i="9"/>
  <c r="M137" i="8"/>
  <c r="B42" i="9"/>
  <c r="G40" i="9"/>
  <c r="C22" i="9"/>
  <c r="H9" i="9"/>
  <c r="N118" i="8"/>
  <c r="C15" i="9"/>
  <c r="H28" i="9"/>
  <c r="C13" i="10"/>
  <c r="F44" i="10"/>
  <c r="I135" i="26"/>
  <c r="G25" i="10"/>
  <c r="E58" i="39"/>
  <c r="I96" i="33"/>
  <c r="G24" i="10"/>
  <c r="E55" i="39"/>
  <c r="C14" i="10"/>
  <c r="I68" i="20"/>
  <c r="I68" i="23"/>
  <c r="I68" i="27"/>
  <c r="I68" i="29"/>
  <c r="I68" i="35"/>
  <c r="I68" i="33"/>
  <c r="I68" i="13"/>
  <c r="G13" i="10"/>
  <c r="F33" i="10"/>
  <c r="I79" i="13"/>
  <c r="I79" i="20"/>
  <c r="I79" i="23"/>
  <c r="I79" i="33"/>
  <c r="I79" i="27"/>
  <c r="I79" i="29"/>
  <c r="I109" i="20"/>
  <c r="I109" i="13"/>
  <c r="I109" i="27"/>
  <c r="I109" i="35"/>
  <c r="I109" i="29"/>
  <c r="I109" i="23"/>
  <c r="I109" i="33"/>
  <c r="I12" i="29"/>
  <c r="I12" i="33"/>
  <c r="I12" i="35"/>
  <c r="I12" i="23"/>
  <c r="I12" i="13"/>
  <c r="G41" i="10"/>
  <c r="I11" i="13"/>
  <c r="I11" i="23"/>
  <c r="I11" i="35"/>
  <c r="I11" i="33"/>
  <c r="G30" i="10"/>
  <c r="I11" i="29"/>
  <c r="F24" i="10"/>
  <c r="I125" i="13"/>
  <c r="I125" i="27"/>
  <c r="I125" i="23"/>
  <c r="I125" i="35"/>
  <c r="I125" i="29"/>
  <c r="I125" i="33"/>
  <c r="C26" i="10"/>
  <c r="I34" i="13"/>
  <c r="I34" i="35"/>
  <c r="I34" i="23"/>
  <c r="I34" i="29"/>
  <c r="I34" i="33"/>
  <c r="G31" i="10"/>
  <c r="D96" i="4"/>
  <c r="B24" i="10"/>
  <c r="C24" i="10"/>
  <c r="I117" i="13"/>
  <c r="I117" i="23"/>
  <c r="I117" i="35"/>
  <c r="I117" i="29"/>
  <c r="I117" i="33"/>
  <c r="I117" i="27"/>
  <c r="C10" i="10"/>
  <c r="C20" i="10"/>
  <c r="D75" i="4"/>
  <c r="B14" i="10"/>
  <c r="E57" i="39"/>
  <c r="L120" i="27"/>
  <c r="K119" i="27"/>
  <c r="L120" i="23"/>
  <c r="L67" i="23"/>
  <c r="H98" i="33"/>
  <c r="L22" i="35"/>
  <c r="H87" i="20"/>
  <c r="L100" i="13"/>
  <c r="D53" i="39"/>
  <c r="D56" i="33"/>
  <c r="L109" i="29"/>
  <c r="L7" i="29"/>
  <c r="L28" i="29"/>
  <c r="L117" i="23"/>
  <c r="H98" i="23"/>
  <c r="L10" i="20"/>
  <c r="K98" i="13"/>
  <c r="L29" i="13"/>
  <c r="G37" i="9"/>
  <c r="B15" i="9"/>
  <c r="G39" i="9"/>
  <c r="B21" i="9"/>
  <c r="H13" i="9"/>
  <c r="B24" i="9"/>
  <c r="C19" i="9"/>
  <c r="G35" i="9"/>
  <c r="H24" i="9"/>
  <c r="B23" i="9"/>
  <c r="H23" i="9"/>
  <c r="L22" i="20"/>
  <c r="L109" i="33"/>
  <c r="L99" i="33"/>
  <c r="H111" i="29"/>
  <c r="L10" i="23"/>
  <c r="L28" i="13"/>
  <c r="L89" i="35"/>
  <c r="D56" i="13"/>
  <c r="L35" i="35"/>
  <c r="L99" i="29"/>
  <c r="K119" i="33"/>
  <c r="L88" i="33"/>
  <c r="L28" i="33"/>
  <c r="L79" i="33"/>
  <c r="L34" i="29"/>
  <c r="H66" i="33"/>
  <c r="L78" i="33"/>
  <c r="L67" i="13"/>
  <c r="H66" i="35"/>
  <c r="K87" i="27"/>
  <c r="L109" i="13"/>
  <c r="L112" i="13"/>
  <c r="L35" i="13"/>
  <c r="L79" i="29"/>
  <c r="L86" i="29"/>
  <c r="L7" i="22"/>
  <c r="L78" i="27"/>
  <c r="K66" i="33"/>
  <c r="L89" i="29"/>
  <c r="L112" i="27"/>
  <c r="L12" i="23"/>
  <c r="H87" i="13"/>
  <c r="L120" i="13"/>
  <c r="L68" i="13"/>
  <c r="L7" i="25"/>
  <c r="K66" i="20"/>
  <c r="L134" i="34"/>
  <c r="L125" i="27"/>
  <c r="L108" i="29"/>
  <c r="L67" i="27"/>
  <c r="L34" i="35"/>
  <c r="D53" i="25"/>
  <c r="L112" i="33"/>
  <c r="L29" i="33"/>
  <c r="L121" i="29"/>
  <c r="L29" i="29"/>
  <c r="H111" i="23"/>
  <c r="L86" i="35"/>
  <c r="D53" i="33"/>
  <c r="L112" i="29"/>
  <c r="L68" i="29"/>
  <c r="L136" i="26"/>
  <c r="L79" i="27"/>
  <c r="D47" i="25"/>
  <c r="L88" i="27"/>
  <c r="L112" i="23"/>
  <c r="H66" i="20"/>
  <c r="L113" i="13"/>
  <c r="L117" i="13"/>
  <c r="K87" i="20"/>
  <c r="L68" i="35"/>
  <c r="L86" i="33"/>
  <c r="H119" i="29"/>
  <c r="L100" i="29"/>
  <c r="L34" i="33"/>
  <c r="L125" i="29"/>
  <c r="L99" i="27"/>
  <c r="L29" i="35"/>
  <c r="L88" i="29"/>
  <c r="L78" i="29"/>
  <c r="K111" i="27"/>
  <c r="L88" i="23"/>
  <c r="L125" i="23"/>
  <c r="L113" i="23"/>
  <c r="L79" i="20"/>
  <c r="H111" i="33"/>
  <c r="L107" i="35"/>
  <c r="D47" i="51"/>
  <c r="D47" i="26"/>
  <c r="L7" i="24"/>
  <c r="L29" i="23"/>
  <c r="L28" i="20"/>
  <c r="L121" i="27"/>
  <c r="K119" i="35"/>
  <c r="L100" i="23"/>
  <c r="L113" i="27"/>
  <c r="L79" i="23"/>
  <c r="L67" i="33"/>
  <c r="L22" i="33"/>
  <c r="L22" i="29"/>
  <c r="J77" i="29"/>
  <c r="L117" i="27"/>
  <c r="K98" i="23"/>
  <c r="L10" i="24"/>
  <c r="L78" i="23"/>
  <c r="L34" i="23"/>
  <c r="L121" i="20"/>
  <c r="H111" i="27"/>
  <c r="L68" i="27"/>
  <c r="K111" i="20"/>
  <c r="L124" i="13"/>
  <c r="L79" i="13"/>
  <c r="L89" i="13"/>
  <c r="L99" i="13"/>
  <c r="L125" i="13"/>
  <c r="L78" i="13"/>
  <c r="K66" i="13"/>
  <c r="L86" i="13"/>
  <c r="K87" i="13"/>
  <c r="J77" i="13"/>
  <c r="L88" i="13"/>
  <c r="H66" i="13"/>
  <c r="D47" i="13"/>
  <c r="J87" i="35"/>
  <c r="D66" i="33"/>
  <c r="J66" i="33"/>
  <c r="D77" i="27"/>
  <c r="J77" i="27"/>
  <c r="L77" i="27" s="1"/>
  <c r="J98" i="23"/>
  <c r="D98" i="23"/>
  <c r="D111" i="33"/>
  <c r="J111" i="33"/>
  <c r="J111" i="35"/>
  <c r="D87" i="20"/>
  <c r="J87" i="20"/>
  <c r="D66" i="13"/>
  <c r="J66" i="13"/>
  <c r="K111" i="33"/>
  <c r="K111" i="35"/>
  <c r="J111" i="29"/>
  <c r="D111" i="29"/>
  <c r="J111" i="23"/>
  <c r="D111" i="23"/>
  <c r="J77" i="20"/>
  <c r="L77" i="20" s="1"/>
  <c r="D77" i="20"/>
  <c r="J87" i="13"/>
  <c r="D87" i="13"/>
  <c r="J119" i="33"/>
  <c r="D119" i="33"/>
  <c r="J119" i="27"/>
  <c r="D119" i="27"/>
  <c r="J66" i="27"/>
  <c r="D66" i="27"/>
  <c r="D77" i="29"/>
  <c r="K77" i="29"/>
  <c r="D98" i="27"/>
  <c r="J98" i="27"/>
  <c r="J66" i="35"/>
  <c r="D77" i="13"/>
  <c r="K77" i="13"/>
  <c r="D98" i="20"/>
  <c r="J98" i="20"/>
  <c r="J66" i="29"/>
  <c r="J87" i="33"/>
  <c r="D87" i="33"/>
  <c r="D119" i="29"/>
  <c r="J119" i="29"/>
  <c r="D98" i="33"/>
  <c r="J98" i="33"/>
  <c r="L98" i="33" s="1"/>
  <c r="J87" i="29"/>
  <c r="D87" i="29"/>
  <c r="J111" i="27"/>
  <c r="D111" i="27"/>
  <c r="J87" i="23"/>
  <c r="D87" i="23"/>
  <c r="K119" i="29"/>
  <c r="H119" i="27"/>
  <c r="K111" i="23"/>
  <c r="D119" i="13"/>
  <c r="J119" i="13"/>
  <c r="D98" i="13"/>
  <c r="J98" i="13"/>
  <c r="D111" i="13"/>
  <c r="J111" i="13"/>
  <c r="J98" i="29"/>
  <c r="D98" i="29"/>
  <c r="J119" i="35"/>
  <c r="H66" i="29"/>
  <c r="D119" i="23"/>
  <c r="J119" i="23"/>
  <c r="J66" i="23"/>
  <c r="D66" i="23"/>
  <c r="D77" i="33"/>
  <c r="J77" i="33"/>
  <c r="L77" i="33" s="1"/>
  <c r="J77" i="23"/>
  <c r="D77" i="23"/>
  <c r="D66" i="29"/>
  <c r="K66" i="29"/>
  <c r="D87" i="27"/>
  <c r="J87" i="27"/>
  <c r="D119" i="20"/>
  <c r="J119" i="20"/>
  <c r="J111" i="20"/>
  <c r="D111" i="20"/>
  <c r="D66" i="20"/>
  <c r="J66" i="20"/>
  <c r="E48" i="38"/>
  <c r="E88" i="33"/>
  <c r="E108" i="33"/>
  <c r="E22" i="33"/>
  <c r="E57" i="33"/>
  <c r="E99" i="33"/>
  <c r="E9" i="33"/>
  <c r="E48" i="33"/>
  <c r="E110" i="33"/>
  <c r="E122" i="33"/>
  <c r="E75" i="33"/>
  <c r="E116" i="33"/>
  <c r="E10" i="33"/>
  <c r="E79" i="33"/>
  <c r="E58" i="33"/>
  <c r="E49" i="33"/>
  <c r="E54" i="33"/>
  <c r="E7" i="33"/>
  <c r="E89" i="33"/>
  <c r="E100" i="33"/>
  <c r="E125" i="33"/>
  <c r="E68" i="33"/>
  <c r="E124" i="33"/>
  <c r="E96" i="33"/>
  <c r="E8" i="33"/>
  <c r="E78" i="33"/>
  <c r="E67" i="33"/>
  <c r="E112" i="33"/>
  <c r="E109" i="33"/>
  <c r="E114" i="33"/>
  <c r="E121" i="33"/>
  <c r="E120" i="33"/>
  <c r="E113" i="33"/>
  <c r="E99" i="29"/>
  <c r="E9" i="29"/>
  <c r="E48" i="34"/>
  <c r="E86" i="29"/>
  <c r="E134" i="34"/>
  <c r="E68" i="29"/>
  <c r="E88" i="29"/>
  <c r="E108" i="29"/>
  <c r="E116" i="29"/>
  <c r="E22" i="29"/>
  <c r="E10" i="29"/>
  <c r="E79" i="29"/>
  <c r="E135" i="34"/>
  <c r="E7" i="29"/>
  <c r="E89" i="29"/>
  <c r="E100" i="29"/>
  <c r="E107" i="29"/>
  <c r="E136" i="34"/>
  <c r="E8" i="29"/>
  <c r="E78" i="29"/>
  <c r="E67" i="29"/>
  <c r="E112" i="29"/>
  <c r="E109" i="29"/>
  <c r="E120" i="29"/>
  <c r="E9" i="41"/>
  <c r="E48" i="40"/>
  <c r="E48" i="41"/>
  <c r="E10" i="41"/>
  <c r="E57" i="40"/>
  <c r="E57" i="41"/>
  <c r="E54" i="40"/>
  <c r="E54" i="41"/>
  <c r="E7" i="41"/>
  <c r="E8" i="41"/>
  <c r="E99" i="27"/>
  <c r="E9" i="51"/>
  <c r="E48" i="51"/>
  <c r="E88" i="27"/>
  <c r="E108" i="27"/>
  <c r="E22" i="51"/>
  <c r="E10" i="51"/>
  <c r="E7" i="51"/>
  <c r="E8" i="51"/>
  <c r="E78" i="27"/>
  <c r="E67" i="27"/>
  <c r="E112" i="27"/>
  <c r="E120" i="27"/>
  <c r="E9" i="25"/>
  <c r="E57" i="25"/>
  <c r="E48" i="25"/>
  <c r="E48" i="26"/>
  <c r="E137" i="26"/>
  <c r="E49" i="26"/>
  <c r="E54" i="25"/>
  <c r="E135" i="26"/>
  <c r="E7" i="25"/>
  <c r="E136" i="26"/>
  <c r="E134" i="26"/>
  <c r="E8" i="25"/>
  <c r="E99" i="23"/>
  <c r="E9" i="24"/>
  <c r="E88" i="23"/>
  <c r="E108" i="23"/>
  <c r="E116" i="23"/>
  <c r="E22" i="23"/>
  <c r="E22" i="24"/>
  <c r="E10" i="24"/>
  <c r="E7" i="24"/>
  <c r="E8" i="24"/>
  <c r="E78" i="23"/>
  <c r="E67" i="23"/>
  <c r="E112" i="23"/>
  <c r="E120" i="23"/>
  <c r="E9" i="22"/>
  <c r="E48" i="21"/>
  <c r="E48" i="22"/>
  <c r="E57" i="21"/>
  <c r="E57" i="22"/>
  <c r="E49" i="22"/>
  <c r="E54" i="21"/>
  <c r="E54" i="22"/>
  <c r="E7" i="22"/>
  <c r="E8" i="22"/>
  <c r="E68" i="20"/>
  <c r="E22" i="20"/>
  <c r="E10" i="20"/>
  <c r="E79" i="20"/>
  <c r="E7" i="19"/>
  <c r="E7" i="20"/>
  <c r="E89" i="20"/>
  <c r="E100" i="20"/>
  <c r="E9" i="19"/>
  <c r="E9" i="20"/>
  <c r="E48" i="20"/>
  <c r="E8" i="19"/>
  <c r="E8" i="20"/>
  <c r="E121" i="20"/>
  <c r="E113" i="20"/>
  <c r="E99" i="13"/>
  <c r="E9" i="13"/>
  <c r="E48" i="13"/>
  <c r="E86" i="13"/>
  <c r="E88" i="13"/>
  <c r="E124" i="13"/>
  <c r="E37" i="13"/>
  <c r="E108" i="13"/>
  <c r="E116" i="13"/>
  <c r="E22" i="13"/>
  <c r="E10" i="13"/>
  <c r="E57" i="13"/>
  <c r="E11" i="13"/>
  <c r="E49" i="13"/>
  <c r="E54" i="13"/>
  <c r="E7" i="13"/>
  <c r="E89" i="13"/>
  <c r="E100" i="13"/>
  <c r="E107" i="13"/>
  <c r="E12" i="13"/>
  <c r="E36" i="13"/>
  <c r="E8" i="13"/>
  <c r="E78" i="13"/>
  <c r="E67" i="13"/>
  <c r="E112" i="13"/>
  <c r="E109" i="13"/>
  <c r="E120" i="13"/>
  <c r="D116" i="4"/>
  <c r="D108" i="4"/>
  <c r="D124" i="4"/>
  <c r="D125" i="4"/>
  <c r="D109" i="4"/>
  <c r="D22" i="4"/>
  <c r="D136" i="4"/>
  <c r="D57" i="4"/>
  <c r="G22" i="4"/>
  <c r="D113" i="4"/>
  <c r="D137" i="4"/>
  <c r="D10" i="4"/>
  <c r="D112" i="4"/>
  <c r="D55" i="4"/>
  <c r="D120" i="4"/>
  <c r="D7" i="4"/>
  <c r="D68" i="4"/>
  <c r="D8" i="4"/>
  <c r="D134" i="4"/>
  <c r="G7" i="4"/>
  <c r="D48" i="4"/>
  <c r="D54" i="4"/>
  <c r="D49" i="4"/>
  <c r="D12" i="4"/>
  <c r="D11" i="4"/>
  <c r="G12" i="4"/>
  <c r="G34" i="4"/>
  <c r="D121" i="4"/>
  <c r="G11" i="4"/>
  <c r="H22" i="4"/>
  <c r="G29" i="4"/>
  <c r="D67" i="4"/>
  <c r="D100" i="4"/>
  <c r="D58" i="4"/>
  <c r="G10" i="4"/>
  <c r="D89" i="4"/>
  <c r="G35" i="4"/>
  <c r="D99" i="4"/>
  <c r="D86" i="4"/>
  <c r="D107" i="4"/>
  <c r="D135" i="4"/>
  <c r="G135" i="4"/>
  <c r="G134" i="4"/>
  <c r="D78" i="4"/>
  <c r="D88" i="4"/>
  <c r="D79" i="4"/>
  <c r="D9" i="4"/>
  <c r="L119" i="35" l="1"/>
  <c r="E87" i="18"/>
  <c r="E66" i="18"/>
  <c r="L77" i="23"/>
  <c r="I77" i="27"/>
  <c r="I77" i="29"/>
  <c r="I77" i="20"/>
  <c r="I77" i="23"/>
  <c r="I77" i="13"/>
  <c r="I77" i="33"/>
  <c r="L111" i="35"/>
  <c r="E56" i="37"/>
  <c r="I111" i="37"/>
  <c r="I111" i="18"/>
  <c r="I98" i="18"/>
  <c r="E77" i="18"/>
  <c r="I77" i="18"/>
  <c r="E119" i="37"/>
  <c r="E119" i="18"/>
  <c r="I119" i="37"/>
  <c r="I119" i="18"/>
  <c r="E47" i="37"/>
  <c r="E47" i="18"/>
  <c r="E98" i="18"/>
  <c r="I87" i="37"/>
  <c r="I87" i="18"/>
  <c r="E111" i="37"/>
  <c r="E111" i="18"/>
  <c r="E53" i="37"/>
  <c r="I66" i="37"/>
  <c r="I66" i="18"/>
  <c r="I77" i="37"/>
  <c r="L98" i="27"/>
  <c r="L87" i="29"/>
  <c r="E97" i="33"/>
  <c r="E97" i="29"/>
  <c r="E97" i="37"/>
  <c r="E97" i="13"/>
  <c r="I98" i="37"/>
  <c r="L119" i="13"/>
  <c r="E76" i="33"/>
  <c r="E76" i="29"/>
  <c r="E76" i="37"/>
  <c r="E76" i="13"/>
  <c r="E66" i="37"/>
  <c r="E87" i="33"/>
  <c r="E87" i="37"/>
  <c r="E98" i="37"/>
  <c r="E77" i="37"/>
  <c r="L98" i="20"/>
  <c r="L111" i="29"/>
  <c r="L66" i="27"/>
  <c r="L111" i="13"/>
  <c r="L87" i="33"/>
  <c r="L98" i="29"/>
  <c r="L87" i="20"/>
  <c r="L119" i="23"/>
  <c r="L87" i="23"/>
  <c r="L98" i="23"/>
  <c r="L119" i="20"/>
  <c r="L111" i="27"/>
  <c r="E66" i="20"/>
  <c r="E87" i="13"/>
  <c r="E87" i="23"/>
  <c r="D98" i="4"/>
  <c r="L66" i="35"/>
  <c r="E98" i="29"/>
  <c r="E98" i="33"/>
  <c r="L87" i="27"/>
  <c r="L119" i="33"/>
  <c r="L98" i="13"/>
  <c r="L66" i="33"/>
  <c r="L87" i="35"/>
  <c r="L66" i="23"/>
  <c r="L66" i="13"/>
  <c r="E66" i="23"/>
  <c r="E66" i="13"/>
  <c r="E66" i="27"/>
  <c r="E66" i="29"/>
  <c r="E66" i="33"/>
  <c r="L111" i="33"/>
  <c r="D87" i="4"/>
  <c r="E98" i="20"/>
  <c r="E98" i="23"/>
  <c r="E87" i="27"/>
  <c r="E98" i="27"/>
  <c r="E87" i="29"/>
  <c r="L119" i="27"/>
  <c r="C43" i="10"/>
  <c r="I119" i="13"/>
  <c r="I119" i="20"/>
  <c r="I119" i="23"/>
  <c r="I119" i="27"/>
  <c r="I119" i="29"/>
  <c r="I119" i="35"/>
  <c r="I119" i="33"/>
  <c r="G43" i="10"/>
  <c r="F22" i="10"/>
  <c r="I98" i="20"/>
  <c r="I98" i="13"/>
  <c r="I98" i="23"/>
  <c r="I98" i="29"/>
  <c r="I98" i="27"/>
  <c r="I98" i="33"/>
  <c r="D66" i="4"/>
  <c r="B12" i="10"/>
  <c r="I66" i="13"/>
  <c r="I66" i="20"/>
  <c r="I66" i="27"/>
  <c r="I66" i="29"/>
  <c r="I66" i="35"/>
  <c r="I66" i="33"/>
  <c r="G12" i="10"/>
  <c r="I66" i="23"/>
  <c r="G66" i="4"/>
  <c r="F12" i="10"/>
  <c r="E53" i="39"/>
  <c r="C38" i="10"/>
  <c r="I111" i="13"/>
  <c r="I111" i="20"/>
  <c r="I111" i="23"/>
  <c r="I111" i="27"/>
  <c r="I111" i="29"/>
  <c r="I111" i="35"/>
  <c r="I111" i="33"/>
  <c r="G32" i="10"/>
  <c r="E56" i="39"/>
  <c r="C49" i="10"/>
  <c r="C32" i="10"/>
  <c r="C22" i="10"/>
  <c r="E47" i="39"/>
  <c r="C11" i="10"/>
  <c r="C12" i="10"/>
  <c r="I87" i="13"/>
  <c r="I87" i="20"/>
  <c r="I87" i="27"/>
  <c r="I87" i="29"/>
  <c r="I87" i="23"/>
  <c r="I87" i="33"/>
  <c r="I87" i="35"/>
  <c r="G22" i="10"/>
  <c r="L66" i="20"/>
  <c r="L111" i="20"/>
  <c r="L87" i="13"/>
  <c r="L119" i="29"/>
  <c r="L66" i="29"/>
  <c r="L77" i="29"/>
  <c r="L111" i="23"/>
  <c r="E98" i="13"/>
  <c r="E87" i="20"/>
  <c r="L77" i="13"/>
  <c r="E47" i="38"/>
  <c r="E77" i="33"/>
  <c r="E111" i="33"/>
  <c r="E47" i="33"/>
  <c r="E119" i="33"/>
  <c r="E53" i="33"/>
  <c r="E56" i="33"/>
  <c r="E47" i="34"/>
  <c r="E119" i="29"/>
  <c r="E77" i="29"/>
  <c r="E111" i="29"/>
  <c r="E53" i="40"/>
  <c r="E53" i="41"/>
  <c r="E56" i="40"/>
  <c r="E56" i="41"/>
  <c r="E47" i="40"/>
  <c r="E47" i="41"/>
  <c r="E77" i="27"/>
  <c r="E111" i="27"/>
  <c r="E47" i="51"/>
  <c r="E119" i="27"/>
  <c r="E53" i="25"/>
  <c r="E47" i="25"/>
  <c r="E47" i="26"/>
  <c r="E56" i="25"/>
  <c r="E119" i="23"/>
  <c r="E77" i="23"/>
  <c r="E111" i="23"/>
  <c r="E56" i="21"/>
  <c r="E56" i="22"/>
  <c r="E47" i="21"/>
  <c r="E47" i="22"/>
  <c r="E53" i="21"/>
  <c r="E53" i="22"/>
  <c r="E119" i="20"/>
  <c r="E47" i="20"/>
  <c r="E77" i="20"/>
  <c r="E111" i="20"/>
  <c r="E53" i="13"/>
  <c r="E77" i="13"/>
  <c r="E56" i="13"/>
  <c r="E111" i="13"/>
  <c r="E47" i="13"/>
  <c r="E119" i="13"/>
  <c r="D111" i="4"/>
  <c r="D77" i="4"/>
  <c r="D119" i="4"/>
  <c r="D53" i="4"/>
  <c r="D56" i="4"/>
  <c r="D47" i="4"/>
  <c r="C60" i="10" l="1"/>
  <c r="H107" i="4"/>
  <c r="H114" i="4"/>
  <c r="H116" i="4"/>
  <c r="H28" i="4"/>
  <c r="H98" i="4" l="1"/>
  <c r="H117" i="4"/>
  <c r="H99" i="4"/>
  <c r="H24" i="4"/>
  <c r="H27" i="4"/>
  <c r="H78" i="4"/>
  <c r="D9" i="10"/>
  <c r="H124" i="4"/>
  <c r="H112" i="4"/>
  <c r="H88" i="4"/>
  <c r="H9" i="4"/>
  <c r="H8" i="4"/>
  <c r="H79" i="4"/>
  <c r="H122" i="4"/>
  <c r="H14" i="10"/>
  <c r="H37" i="4"/>
  <c r="H121" i="4"/>
  <c r="I121" i="4"/>
  <c r="I112" i="4"/>
  <c r="I9" i="4"/>
  <c r="M9" i="72" s="1"/>
  <c r="K49" i="10"/>
  <c r="H113" i="4"/>
  <c r="I108" i="4"/>
  <c r="H11" i="4"/>
  <c r="I122" i="4"/>
  <c r="I79" i="4"/>
  <c r="I100" i="4"/>
  <c r="H110" i="4"/>
  <c r="H25" i="4"/>
  <c r="H125" i="4"/>
  <c r="H86" i="4"/>
  <c r="H42" i="10"/>
  <c r="H21" i="10"/>
  <c r="I120" i="4"/>
  <c r="I28" i="4"/>
  <c r="H109" i="4"/>
  <c r="I32" i="4"/>
  <c r="I67" i="4"/>
  <c r="K11" i="10"/>
  <c r="I23" i="4"/>
  <c r="H22" i="10"/>
  <c r="H108" i="4"/>
  <c r="H10" i="4"/>
  <c r="H38" i="4"/>
  <c r="I77" i="4"/>
  <c r="I88" i="4"/>
  <c r="I117" i="4"/>
  <c r="H67" i="4"/>
  <c r="H12" i="10"/>
  <c r="I116" i="4"/>
  <c r="H120" i="4"/>
  <c r="I110" i="4"/>
  <c r="I113" i="4"/>
  <c r="I78" i="4"/>
  <c r="K26" i="10"/>
  <c r="I98" i="4"/>
  <c r="I99" i="4"/>
  <c r="K9" i="10"/>
  <c r="H77" i="4"/>
  <c r="H24" i="10"/>
  <c r="I31" i="4"/>
  <c r="I24" i="4"/>
  <c r="K16" i="10"/>
  <c r="I30" i="4"/>
  <c r="H36" i="4"/>
  <c r="K45" i="10"/>
  <c r="H39" i="4"/>
  <c r="I107" i="4"/>
  <c r="I8" i="4"/>
  <c r="I114" i="4"/>
  <c r="I86" i="4"/>
  <c r="H10" i="10"/>
  <c r="I124" i="4"/>
  <c r="H100" i="4"/>
  <c r="H7" i="4"/>
  <c r="H23" i="4"/>
  <c r="H15" i="10"/>
  <c r="I125" i="4"/>
  <c r="J23" i="4" l="1"/>
  <c r="J24" i="4"/>
  <c r="J110" i="4"/>
  <c r="M67" i="37"/>
  <c r="M67" i="18"/>
  <c r="M107" i="37"/>
  <c r="M32" i="37"/>
  <c r="M32" i="18"/>
  <c r="M79" i="37"/>
  <c r="M79" i="18"/>
  <c r="M124" i="37"/>
  <c r="M124" i="18"/>
  <c r="M88" i="37"/>
  <c r="M88" i="18"/>
  <c r="M78" i="37"/>
  <c r="M78" i="18"/>
  <c r="M100" i="37"/>
  <c r="M100" i="18"/>
  <c r="M86" i="37"/>
  <c r="M122" i="37"/>
  <c r="M109" i="37"/>
  <c r="M109" i="18"/>
  <c r="M99" i="37"/>
  <c r="M99" i="18"/>
  <c r="M113" i="37"/>
  <c r="M113" i="18"/>
  <c r="M117" i="37"/>
  <c r="M117" i="18"/>
  <c r="M28" i="37"/>
  <c r="M28" i="18"/>
  <c r="M114" i="37"/>
  <c r="M98" i="18"/>
  <c r="M110" i="37"/>
  <c r="M9" i="37"/>
  <c r="M9" i="18"/>
  <c r="M31" i="37"/>
  <c r="M31" i="18"/>
  <c r="M8" i="37"/>
  <c r="M8" i="18"/>
  <c r="M24" i="37"/>
  <c r="M108" i="37"/>
  <c r="M108" i="18"/>
  <c r="M112" i="37"/>
  <c r="M112" i="18"/>
  <c r="J122" i="4"/>
  <c r="M23" i="37"/>
  <c r="M23" i="18"/>
  <c r="M121" i="37"/>
  <c r="M121" i="18"/>
  <c r="M125" i="37"/>
  <c r="M125" i="18"/>
  <c r="M30" i="37"/>
  <c r="M30" i="18"/>
  <c r="M116" i="37"/>
  <c r="M116" i="18"/>
  <c r="M77" i="18"/>
  <c r="M120" i="37"/>
  <c r="M120" i="18"/>
  <c r="J114" i="4"/>
  <c r="M98" i="37"/>
  <c r="M97" i="37"/>
  <c r="M97" i="13"/>
  <c r="M97" i="29"/>
  <c r="M97" i="33"/>
  <c r="M77" i="37"/>
  <c r="M76" i="37"/>
  <c r="M76" i="33"/>
  <c r="M76" i="29"/>
  <c r="M76" i="13"/>
  <c r="M24" i="13"/>
  <c r="M24" i="24"/>
  <c r="M24" i="33"/>
  <c r="M24" i="29"/>
  <c r="M88" i="13"/>
  <c r="M88" i="27"/>
  <c r="M88" i="29"/>
  <c r="M88" i="23"/>
  <c r="M88" i="33"/>
  <c r="J28" i="4"/>
  <c r="M28" i="20"/>
  <c r="M28" i="25"/>
  <c r="M28" i="23"/>
  <c r="M28" i="24"/>
  <c r="M28" i="51"/>
  <c r="M28" i="29"/>
  <c r="M28" i="13"/>
  <c r="M28" i="33"/>
  <c r="M121" i="23"/>
  <c r="M121" i="13"/>
  <c r="M121" i="27"/>
  <c r="M121" i="29"/>
  <c r="M121" i="33"/>
  <c r="M121" i="20"/>
  <c r="M121" i="35"/>
  <c r="M125" i="23"/>
  <c r="M125" i="27"/>
  <c r="M125" i="13"/>
  <c r="M125" i="29"/>
  <c r="M125" i="33"/>
  <c r="M125" i="35"/>
  <c r="M124" i="13"/>
  <c r="M124" i="33"/>
  <c r="M114" i="33"/>
  <c r="M31" i="23"/>
  <c r="M31" i="13"/>
  <c r="M31" i="24"/>
  <c r="M31" i="35"/>
  <c r="M31" i="29"/>
  <c r="M31" i="33"/>
  <c r="M78" i="23"/>
  <c r="M78" i="27"/>
  <c r="M78" i="13"/>
  <c r="M78" i="29"/>
  <c r="M78" i="33"/>
  <c r="M113" i="23"/>
  <c r="M113" i="13"/>
  <c r="M113" i="27"/>
  <c r="M113" i="20"/>
  <c r="M113" i="29"/>
  <c r="M113" i="33"/>
  <c r="M113" i="35"/>
  <c r="J116" i="4"/>
  <c r="M116" i="13"/>
  <c r="M116" i="23"/>
  <c r="M116" i="29"/>
  <c r="M116" i="33"/>
  <c r="M117" i="23"/>
  <c r="M117" i="27"/>
  <c r="M117" i="13"/>
  <c r="M117" i="29"/>
  <c r="M117" i="33"/>
  <c r="M117" i="35"/>
  <c r="M23" i="20"/>
  <c r="M23" i="23"/>
  <c r="M23" i="13"/>
  <c r="M23" i="35"/>
  <c r="M23" i="29"/>
  <c r="M23" i="33"/>
  <c r="M32" i="13"/>
  <c r="M32" i="20"/>
  <c r="M32" i="33"/>
  <c r="M32" i="23"/>
  <c r="M32" i="29"/>
  <c r="M79" i="13"/>
  <c r="M79" i="20"/>
  <c r="M79" i="23"/>
  <c r="M79" i="33"/>
  <c r="M79" i="29"/>
  <c r="M79" i="27"/>
  <c r="M8" i="20"/>
  <c r="M8" i="13"/>
  <c r="M8" i="22"/>
  <c r="M8" i="24"/>
  <c r="M8" i="51"/>
  <c r="M8" i="25"/>
  <c r="M8" i="41"/>
  <c r="M8" i="29"/>
  <c r="M8" i="33"/>
  <c r="M8" i="19"/>
  <c r="M30" i="20"/>
  <c r="M30" i="13"/>
  <c r="M30" i="23"/>
  <c r="M30" i="33"/>
  <c r="M30" i="29"/>
  <c r="M30" i="35"/>
  <c r="M99" i="23"/>
  <c r="M99" i="27"/>
  <c r="M99" i="29"/>
  <c r="M99" i="13"/>
  <c r="M99" i="33"/>
  <c r="M110" i="33"/>
  <c r="M120" i="13"/>
  <c r="M120" i="23"/>
  <c r="M120" i="27"/>
  <c r="M120" i="29"/>
  <c r="M120" i="33"/>
  <c r="M100" i="13"/>
  <c r="M100" i="20"/>
  <c r="M100" i="29"/>
  <c r="M100" i="33"/>
  <c r="M100" i="27"/>
  <c r="M100" i="23"/>
  <c r="M122" i="33"/>
  <c r="M108" i="13"/>
  <c r="M108" i="23"/>
  <c r="M108" i="33"/>
  <c r="M108" i="29"/>
  <c r="M108" i="27"/>
  <c r="M9" i="19"/>
  <c r="M9" i="25"/>
  <c r="M9" i="20"/>
  <c r="M9" i="22"/>
  <c r="M9" i="51"/>
  <c r="M9" i="13"/>
  <c r="M9" i="29"/>
  <c r="M9" i="24"/>
  <c r="M9" i="41"/>
  <c r="M9" i="33"/>
  <c r="M86" i="35"/>
  <c r="M86" i="29"/>
  <c r="M86" i="13"/>
  <c r="M86" i="33"/>
  <c r="J107" i="4"/>
  <c r="M107" i="13"/>
  <c r="M107" i="35"/>
  <c r="M107" i="29"/>
  <c r="M107" i="33"/>
  <c r="M98" i="20"/>
  <c r="M98" i="13"/>
  <c r="M98" i="23"/>
  <c r="M98" i="27"/>
  <c r="M98" i="29"/>
  <c r="M98" i="33"/>
  <c r="M77" i="20"/>
  <c r="M77" i="13"/>
  <c r="M77" i="27"/>
  <c r="M77" i="23"/>
  <c r="M77" i="29"/>
  <c r="M77" i="33"/>
  <c r="M67" i="13"/>
  <c r="M67" i="23"/>
  <c r="M67" i="27"/>
  <c r="M67" i="29"/>
  <c r="M67" i="33"/>
  <c r="M109" i="27"/>
  <c r="M109" i="13"/>
  <c r="M109" i="23"/>
  <c r="M109" i="20"/>
  <c r="M109" i="29"/>
  <c r="M109" i="35"/>
  <c r="M109" i="33"/>
  <c r="M112" i="13"/>
  <c r="M112" i="23"/>
  <c r="M112" i="27"/>
  <c r="M112" i="33"/>
  <c r="M112" i="29"/>
  <c r="J108" i="4"/>
  <c r="M43" i="8"/>
  <c r="D39" i="9"/>
  <c r="N72" i="8"/>
  <c r="H62" i="9"/>
  <c r="B64" i="9"/>
  <c r="M44" i="8"/>
  <c r="D40" i="9"/>
  <c r="M39" i="8"/>
  <c r="D35" i="9"/>
  <c r="C50" i="9"/>
  <c r="N13" i="8"/>
  <c r="H49" i="9"/>
  <c r="N62" i="8"/>
  <c r="N46" i="8"/>
  <c r="G52" i="9"/>
  <c r="I14" i="9"/>
  <c r="G30" i="9"/>
  <c r="M30" i="8"/>
  <c r="B68" i="9"/>
  <c r="D29" i="9"/>
  <c r="D13" i="9"/>
  <c r="B51" i="9"/>
  <c r="M14" i="8"/>
  <c r="M22" i="8"/>
  <c r="D21" i="9"/>
  <c r="B59" i="9"/>
  <c r="M37" i="8"/>
  <c r="B43" i="9"/>
  <c r="D33" i="9"/>
  <c r="G49" i="9"/>
  <c r="I11" i="9"/>
  <c r="M62" i="8"/>
  <c r="G47" i="9"/>
  <c r="M60" i="8"/>
  <c r="I9" i="9"/>
  <c r="M71" i="8"/>
  <c r="G61" i="9"/>
  <c r="I23" i="9"/>
  <c r="H51" i="9"/>
  <c r="N64" i="8"/>
  <c r="G60" i="9"/>
  <c r="I22" i="9"/>
  <c r="N10" i="8"/>
  <c r="C47" i="9"/>
  <c r="B67" i="9"/>
  <c r="D28" i="9"/>
  <c r="M29" i="8"/>
  <c r="M87" i="8"/>
  <c r="I35" i="9"/>
  <c r="M69" i="8"/>
  <c r="G57" i="9"/>
  <c r="I19" i="9"/>
  <c r="N43" i="8"/>
  <c r="N12" i="8"/>
  <c r="C49" i="9"/>
  <c r="N22" i="8"/>
  <c r="C59" i="9"/>
  <c r="M19" i="8"/>
  <c r="B56" i="9"/>
  <c r="D18" i="9"/>
  <c r="H52" i="9"/>
  <c r="N41" i="8"/>
  <c r="D38" i="9"/>
  <c r="M42" i="8"/>
  <c r="N40" i="8"/>
  <c r="N28" i="8"/>
  <c r="C66" i="9"/>
  <c r="N63" i="8"/>
  <c r="H50" i="9"/>
  <c r="N45" i="8"/>
  <c r="M46" i="8"/>
  <c r="D42" i="9"/>
  <c r="B66" i="9"/>
  <c r="H30" i="9"/>
  <c r="J23" i="9" s="1"/>
  <c r="I18" i="9"/>
  <c r="M68" i="8"/>
  <c r="G56" i="9"/>
  <c r="N11" i="8"/>
  <c r="C48" i="9"/>
  <c r="M86" i="8"/>
  <c r="I34" i="9"/>
  <c r="I13" i="9"/>
  <c r="G51" i="9"/>
  <c r="M64" i="8"/>
  <c r="H55" i="9"/>
  <c r="N67" i="8"/>
  <c r="D41" i="9"/>
  <c r="M45" i="8"/>
  <c r="H59" i="9"/>
  <c r="I20" i="9"/>
  <c r="G58" i="9"/>
  <c r="D12" i="9"/>
  <c r="M13" i="8"/>
  <c r="B50" i="9"/>
  <c r="N87" i="8"/>
  <c r="B62" i="9"/>
  <c r="M25" i="8"/>
  <c r="D24" i="9"/>
  <c r="N19" i="8"/>
  <c r="C56" i="9"/>
  <c r="H56" i="9"/>
  <c r="N68" i="8"/>
  <c r="M20" i="8"/>
  <c r="D19" i="9"/>
  <c r="B57" i="9"/>
  <c r="N20" i="8"/>
  <c r="C57" i="9"/>
  <c r="D10" i="9"/>
  <c r="M11" i="8"/>
  <c r="B48" i="9"/>
  <c r="I25" i="9"/>
  <c r="M88" i="8"/>
  <c r="I36" i="9"/>
  <c r="H54" i="9"/>
  <c r="I21" i="9"/>
  <c r="G59" i="9"/>
  <c r="I26" i="9"/>
  <c r="M73" i="8"/>
  <c r="G65" i="9"/>
  <c r="I29" i="9"/>
  <c r="G68" i="9"/>
  <c r="N73" i="8"/>
  <c r="H65" i="9"/>
  <c r="N74" i="8"/>
  <c r="H66" i="9"/>
  <c r="N94" i="8"/>
  <c r="B47" i="9"/>
  <c r="D9" i="9"/>
  <c r="M10" i="8"/>
  <c r="N44" i="8"/>
  <c r="C64" i="9"/>
  <c r="H61" i="9"/>
  <c r="N71" i="8"/>
  <c r="N88" i="8"/>
  <c r="H48" i="9"/>
  <c r="N61" i="8"/>
  <c r="C52" i="9"/>
  <c r="N15" i="8"/>
  <c r="I39" i="9"/>
  <c r="M91" i="8"/>
  <c r="B54" i="9"/>
  <c r="M17" i="8"/>
  <c r="D16" i="9"/>
  <c r="C30" i="9"/>
  <c r="E15" i="9" s="1"/>
  <c r="N91" i="8"/>
  <c r="C68" i="9"/>
  <c r="N30" i="8"/>
  <c r="G64" i="9"/>
  <c r="I40" i="9"/>
  <c r="M92" i="8"/>
  <c r="C65" i="9"/>
  <c r="N27" i="8"/>
  <c r="N90" i="8"/>
  <c r="D20" i="9"/>
  <c r="B58" i="9"/>
  <c r="M21" i="8"/>
  <c r="N16" i="8"/>
  <c r="C53" i="9"/>
  <c r="N93" i="8"/>
  <c r="C43" i="9"/>
  <c r="E33" i="9" s="1"/>
  <c r="N37" i="8"/>
  <c r="M41" i="8"/>
  <c r="D37" i="9"/>
  <c r="M72" i="8"/>
  <c r="I24" i="9"/>
  <c r="G62" i="9"/>
  <c r="N39" i="8"/>
  <c r="B61" i="9"/>
  <c r="D23" i="9"/>
  <c r="M24" i="8"/>
  <c r="H57" i="9"/>
  <c r="N69" i="8"/>
  <c r="D34" i="9"/>
  <c r="M38" i="8"/>
  <c r="N89" i="8"/>
  <c r="D27" i="9"/>
  <c r="M28" i="8"/>
  <c r="M61" i="8"/>
  <c r="I10" i="9"/>
  <c r="G48" i="9"/>
  <c r="H43" i="9"/>
  <c r="J37" i="9" s="1"/>
  <c r="N85" i="8"/>
  <c r="C62" i="9"/>
  <c r="N25" i="8"/>
  <c r="N38" i="8"/>
  <c r="B53" i="9"/>
  <c r="D15" i="9"/>
  <c r="M16" i="8"/>
  <c r="N21" i="8"/>
  <c r="C58" i="9"/>
  <c r="H68" i="9"/>
  <c r="N86" i="8"/>
  <c r="N23" i="8"/>
  <c r="C60" i="9"/>
  <c r="N29" i="8"/>
  <c r="C67" i="9"/>
  <c r="H47" i="9"/>
  <c r="N60" i="8"/>
  <c r="I37" i="9"/>
  <c r="M89" i="8"/>
  <c r="D11" i="9"/>
  <c r="M12" i="8"/>
  <c r="B49" i="9"/>
  <c r="C51" i="9"/>
  <c r="N14" i="8"/>
  <c r="I33" i="9"/>
  <c r="G43" i="9"/>
  <c r="F27" i="10" s="1"/>
  <c r="M85" i="8"/>
  <c r="N17" i="8"/>
  <c r="C54" i="9"/>
  <c r="H64" i="9"/>
  <c r="N92" i="8"/>
  <c r="M27" i="8"/>
  <c r="D26" i="9"/>
  <c r="B65" i="9"/>
  <c r="H53" i="9"/>
  <c r="M93" i="8"/>
  <c r="I41" i="9"/>
  <c r="H58" i="9"/>
  <c r="D17" i="9"/>
  <c r="M18" i="8"/>
  <c r="B55" i="9"/>
  <c r="H67" i="9"/>
  <c r="N18" i="8"/>
  <c r="C55" i="9"/>
  <c r="M94" i="8"/>
  <c r="I42" i="9"/>
  <c r="B30" i="9"/>
  <c r="B17" i="10" s="1"/>
  <c r="N42" i="8"/>
  <c r="M67" i="8"/>
  <c r="G55" i="9"/>
  <c r="I17" i="9"/>
  <c r="M40" i="8"/>
  <c r="D36" i="9"/>
  <c r="D25" i="9"/>
  <c r="B52" i="9"/>
  <c r="M15" i="8"/>
  <c r="D14" i="9"/>
  <c r="D22" i="9"/>
  <c r="M23" i="8"/>
  <c r="B60" i="9"/>
  <c r="I28" i="9"/>
  <c r="G67" i="9"/>
  <c r="H60" i="9"/>
  <c r="I12" i="9"/>
  <c r="G50" i="9"/>
  <c r="M63" i="8"/>
  <c r="I27" i="9"/>
  <c r="M74" i="8"/>
  <c r="G66" i="9"/>
  <c r="G53" i="9"/>
  <c r="I15" i="9"/>
  <c r="N24" i="8"/>
  <c r="C61" i="9"/>
  <c r="G54" i="9"/>
  <c r="I16" i="9"/>
  <c r="M90" i="8"/>
  <c r="I38" i="9"/>
  <c r="J109" i="4"/>
  <c r="J117" i="4"/>
  <c r="J125" i="4"/>
  <c r="J124" i="4"/>
  <c r="J120" i="4"/>
  <c r="J8" i="4"/>
  <c r="J112" i="4"/>
  <c r="J78" i="4"/>
  <c r="J9" i="4"/>
  <c r="J67" i="4"/>
  <c r="J86" i="4"/>
  <c r="J113" i="4"/>
  <c r="J88" i="4"/>
  <c r="J99" i="4"/>
  <c r="J100" i="4"/>
  <c r="J121" i="4"/>
  <c r="J77" i="4"/>
  <c r="J79" i="4"/>
  <c r="J98" i="4"/>
  <c r="K21" i="10"/>
  <c r="H75" i="4"/>
  <c r="H25" i="10"/>
  <c r="G55" i="10"/>
  <c r="H136" i="4"/>
  <c r="H96" i="4"/>
  <c r="K42" i="10"/>
  <c r="G53" i="10"/>
  <c r="H29" i="4"/>
  <c r="H89" i="4"/>
  <c r="K12" i="10"/>
  <c r="K14" i="10"/>
  <c r="K23" i="10"/>
  <c r="H87" i="4"/>
  <c r="H44" i="10"/>
  <c r="H111" i="4"/>
  <c r="K44" i="10"/>
  <c r="K24" i="10"/>
  <c r="G46" i="10"/>
  <c r="H43" i="10"/>
  <c r="H31" i="4"/>
  <c r="J31" i="4" s="1"/>
  <c r="H32" i="4"/>
  <c r="J32" i="4" s="1"/>
  <c r="J10" i="10"/>
  <c r="D10" i="10"/>
  <c r="J24" i="10"/>
  <c r="D24" i="10"/>
  <c r="I25" i="4"/>
  <c r="B60" i="10"/>
  <c r="D38" i="10"/>
  <c r="J38" i="10"/>
  <c r="I37" i="4"/>
  <c r="F55" i="10"/>
  <c r="H33" i="10"/>
  <c r="D23" i="10"/>
  <c r="J23" i="10"/>
  <c r="H34" i="4"/>
  <c r="H134" i="4"/>
  <c r="J14" i="10"/>
  <c r="D14" i="10"/>
  <c r="I87"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75" i="4"/>
  <c r="I137" i="4"/>
  <c r="D22" i="10"/>
  <c r="J22" i="10"/>
  <c r="G54" i="10"/>
  <c r="J31" i="10"/>
  <c r="B53" i="10"/>
  <c r="D31" i="10"/>
  <c r="J15" i="10"/>
  <c r="D15" i="10"/>
  <c r="I96" i="4"/>
  <c r="H20" i="10"/>
  <c r="K22" i="10"/>
  <c r="K10" i="10"/>
  <c r="D44" i="10"/>
  <c r="J44" i="10"/>
  <c r="I111" i="4"/>
  <c r="C55" i="10"/>
  <c r="K33" i="10"/>
  <c r="J13" i="10"/>
  <c r="D13" i="10"/>
  <c r="K13" i="10"/>
  <c r="H35" i="4"/>
  <c r="C56" i="10"/>
  <c r="K56" i="10" s="1"/>
  <c r="K34" i="10"/>
  <c r="I119" i="4"/>
  <c r="F35" i="10"/>
  <c r="F52" i="10"/>
  <c r="H30" i="10"/>
  <c r="I135" i="4"/>
  <c r="I29" i="4"/>
  <c r="H31" i="10"/>
  <c r="F53" i="10"/>
  <c r="I89" i="4"/>
  <c r="J32" i="10"/>
  <c r="D32" i="10"/>
  <c r="B54" i="10"/>
  <c r="I66" i="4"/>
  <c r="J20" i="10"/>
  <c r="D20" i="10"/>
  <c r="B56" i="10"/>
  <c r="D34" i="10"/>
  <c r="J34" i="10"/>
  <c r="H66" i="4"/>
  <c r="H32" i="10"/>
  <c r="F54" i="10"/>
  <c r="I22" i="4"/>
  <c r="K41" i="10"/>
  <c r="C46" i="10"/>
  <c r="H119" i="4"/>
  <c r="H137" i="4"/>
  <c r="I136" i="4"/>
  <c r="H68" i="4"/>
  <c r="I68" i="4"/>
  <c r="I38" i="4"/>
  <c r="K43" i="10"/>
  <c r="I10" i="4"/>
  <c r="H135" i="4"/>
  <c r="H12" i="4"/>
  <c r="J26" i="10"/>
  <c r="L26" i="10" s="1"/>
  <c r="D26" i="10"/>
  <c r="I34" i="4"/>
  <c r="H9" i="10"/>
  <c r="J9" i="10"/>
  <c r="L9" i="10" s="1"/>
  <c r="J49" i="10"/>
  <c r="L49" i="10" s="1"/>
  <c r="D49" i="10"/>
  <c r="D21" i="10"/>
  <c r="J21" i="10"/>
  <c r="I39" i="4"/>
  <c r="I27" i="4"/>
  <c r="I36" i="4"/>
  <c r="B35" i="10"/>
  <c r="J30" i="10"/>
  <c r="B52" i="10"/>
  <c r="D30" i="10"/>
  <c r="I7" i="4"/>
  <c r="M7" i="72" s="1"/>
  <c r="K60" i="10"/>
  <c r="K38" i="10"/>
  <c r="H13" i="10"/>
  <c r="G35" i="10"/>
  <c r="G52" i="10"/>
  <c r="I35" i="4"/>
  <c r="D12" i="10"/>
  <c r="J12" i="10"/>
  <c r="I12" i="4"/>
  <c r="D43" i="10"/>
  <c r="J43" i="10"/>
  <c r="I134" i="4"/>
  <c r="I11" i="4"/>
  <c r="K20" i="10"/>
  <c r="D25" i="10"/>
  <c r="J25" i="10"/>
  <c r="D41" i="10"/>
  <c r="J41" i="10"/>
  <c r="B46" i="10"/>
  <c r="K31" i="10"/>
  <c r="C53" i="10"/>
  <c r="M16" i="9"/>
  <c r="M20" i="9"/>
  <c r="O10" i="9"/>
  <c r="M38" i="9"/>
  <c r="O25" i="9"/>
  <c r="M27" i="9"/>
  <c r="L37" i="9"/>
  <c r="L16" i="9"/>
  <c r="N38" i="9"/>
  <c r="M23" i="9"/>
  <c r="O21" i="9"/>
  <c r="L21" i="9"/>
  <c r="M40" i="9"/>
  <c r="O34" i="9"/>
  <c r="O19" i="9"/>
  <c r="L17" i="9"/>
  <c r="M22" i="9"/>
  <c r="N25" i="9"/>
  <c r="L13" i="9"/>
  <c r="M17" i="9"/>
  <c r="L9" i="9"/>
  <c r="O24" i="9"/>
  <c r="O28" i="9"/>
  <c r="O26" i="9"/>
  <c r="O20" i="9"/>
  <c r="N16" i="9"/>
  <c r="O36" i="9"/>
  <c r="O42" i="9"/>
  <c r="O14" i="9"/>
  <c r="L29" i="9"/>
  <c r="L39" i="9"/>
  <c r="L38" i="9"/>
  <c r="N39" i="9"/>
  <c r="M26" i="9"/>
  <c r="M13" i="9"/>
  <c r="L33" i="9"/>
  <c r="L25" i="9"/>
  <c r="O18" i="9"/>
  <c r="M35" i="9"/>
  <c r="L42" i="9"/>
  <c r="L14" i="9"/>
  <c r="N37" i="9"/>
  <c r="M33" i="9"/>
  <c r="M29" i="9"/>
  <c r="L26" i="9"/>
  <c r="M12" i="9"/>
  <c r="N36" i="9"/>
  <c r="O11" i="9"/>
  <c r="L35" i="9"/>
  <c r="N15" i="9"/>
  <c r="L24" i="9"/>
  <c r="N27" i="9"/>
  <c r="O22" i="9"/>
  <c r="O27" i="9"/>
  <c r="L19" i="9"/>
  <c r="N17" i="9"/>
  <c r="N21" i="9"/>
  <c r="M15" i="9"/>
  <c r="O23" i="9"/>
  <c r="L36" i="9"/>
  <c r="N14" i="9"/>
  <c r="N40" i="9"/>
  <c r="M24" i="9"/>
  <c r="M11" i="9"/>
  <c r="O15" i="9"/>
  <c r="O9" i="9"/>
  <c r="N9" i="9"/>
  <c r="N20" i="9"/>
  <c r="L15" i="9"/>
  <c r="N28" i="9"/>
  <c r="M25" i="9"/>
  <c r="M39" i="9"/>
  <c r="N12" i="9"/>
  <c r="N24" i="9"/>
  <c r="O41" i="9"/>
  <c r="M42" i="9"/>
  <c r="M37" i="9"/>
  <c r="N19" i="9"/>
  <c r="O17" i="9"/>
  <c r="O35" i="9"/>
  <c r="L10" i="9"/>
  <c r="N23" i="9"/>
  <c r="L22" i="9"/>
  <c r="O33" i="9"/>
  <c r="M34" i="9"/>
  <c r="M10" i="9"/>
  <c r="O37" i="9"/>
  <c r="L27" i="9"/>
  <c r="O40" i="9"/>
  <c r="N29" i="9"/>
  <c r="N33" i="9"/>
  <c r="N22" i="9"/>
  <c r="M21" i="9"/>
  <c r="O12" i="9"/>
  <c r="N26" i="9"/>
  <c r="N11" i="9"/>
  <c r="N18" i="9"/>
  <c r="M14" i="9"/>
  <c r="L23" i="9"/>
  <c r="L12" i="9"/>
  <c r="M36" i="9"/>
  <c r="M18" i="9"/>
  <c r="O38" i="9"/>
  <c r="O39" i="9"/>
  <c r="O29" i="9"/>
  <c r="N10" i="9"/>
  <c r="N35" i="9"/>
  <c r="M41" i="9"/>
  <c r="L18" i="9"/>
  <c r="N42" i="9"/>
  <c r="L20" i="9"/>
  <c r="L40" i="9"/>
  <c r="M28" i="9"/>
  <c r="M19" i="9"/>
  <c r="O16" i="9"/>
  <c r="N41" i="9"/>
  <c r="M9" i="9"/>
  <c r="N13" i="9"/>
  <c r="L28" i="9"/>
  <c r="L11" i="9"/>
  <c r="L41" i="9"/>
  <c r="O13" i="9"/>
  <c r="L34" i="9"/>
  <c r="N34" i="9"/>
  <c r="J25" i="4" l="1"/>
  <c r="M33" i="18"/>
  <c r="M33" i="35"/>
  <c r="M33" i="23"/>
  <c r="M33" i="33"/>
  <c r="M33" i="20"/>
  <c r="M33" i="37"/>
  <c r="M33" i="29"/>
  <c r="M35" i="37"/>
  <c r="M35" i="18"/>
  <c r="M22" i="37"/>
  <c r="M22" i="18"/>
  <c r="M29" i="37"/>
  <c r="M29" i="18"/>
  <c r="M135" i="37"/>
  <c r="M37" i="37"/>
  <c r="M66" i="37"/>
  <c r="M66" i="18"/>
  <c r="M111" i="37"/>
  <c r="M111" i="18"/>
  <c r="M10" i="37"/>
  <c r="M10" i="18"/>
  <c r="M75" i="37"/>
  <c r="M134" i="37"/>
  <c r="M36" i="37"/>
  <c r="M12" i="37"/>
  <c r="M12" i="18"/>
  <c r="M89" i="37"/>
  <c r="M89" i="18"/>
  <c r="M87" i="37"/>
  <c r="M87" i="18"/>
  <c r="M25" i="37"/>
  <c r="M25" i="18"/>
  <c r="M11" i="37"/>
  <c r="M11" i="18"/>
  <c r="M7" i="37"/>
  <c r="M7" i="18"/>
  <c r="M34" i="37"/>
  <c r="M34" i="18"/>
  <c r="M119" i="37"/>
  <c r="M119" i="18"/>
  <c r="M68" i="37"/>
  <c r="M68" i="18"/>
  <c r="M96" i="37"/>
  <c r="L24" i="10"/>
  <c r="L14" i="10"/>
  <c r="J39" i="4"/>
  <c r="J75" i="4"/>
  <c r="J96" i="4"/>
  <c r="L15" i="10"/>
  <c r="L48" i="9"/>
  <c r="L68" i="9"/>
  <c r="N55" i="9"/>
  <c r="M43" i="9"/>
  <c r="M66" i="9"/>
  <c r="O65" i="9"/>
  <c r="L51" i="9"/>
  <c r="M48" i="9"/>
  <c r="M53" i="9"/>
  <c r="O53" i="9"/>
  <c r="N58" i="9"/>
  <c r="O68" i="9"/>
  <c r="O52" i="9"/>
  <c r="M58" i="9"/>
  <c r="N53" i="9"/>
  <c r="N50" i="9"/>
  <c r="O67" i="9"/>
  <c r="M65" i="9"/>
  <c r="L53" i="9"/>
  <c r="L62" i="9"/>
  <c r="L55" i="9"/>
  <c r="L61" i="9"/>
  <c r="M57" i="9"/>
  <c r="L67" i="9"/>
  <c r="M30" i="9"/>
  <c r="O51" i="9"/>
  <c r="L43" i="9"/>
  <c r="L50" i="9"/>
  <c r="O64" i="9"/>
  <c r="L47" i="9"/>
  <c r="N60" i="9"/>
  <c r="M68" i="9"/>
  <c r="N30" i="9"/>
  <c r="M59" i="9"/>
  <c r="O43" i="9"/>
  <c r="N52" i="9"/>
  <c r="O48" i="9"/>
  <c r="O47" i="9"/>
  <c r="L58" i="9"/>
  <c r="M60" i="9"/>
  <c r="N64" i="9"/>
  <c r="N68" i="9"/>
  <c r="M61" i="9"/>
  <c r="O61" i="9"/>
  <c r="N66" i="9"/>
  <c r="O56" i="9"/>
  <c r="L59" i="9"/>
  <c r="L66" i="9"/>
  <c r="L54" i="9"/>
  <c r="N62" i="9"/>
  <c r="N51" i="9"/>
  <c r="L64" i="9"/>
  <c r="O58" i="9"/>
  <c r="O57" i="9"/>
  <c r="O66" i="9"/>
  <c r="L56" i="9"/>
  <c r="O62" i="9"/>
  <c r="N48" i="9"/>
  <c r="L57" i="9"/>
  <c r="N47" i="9"/>
  <c r="M67" i="9"/>
  <c r="N61" i="9"/>
  <c r="M51" i="9"/>
  <c r="M64" i="9"/>
  <c r="O30" i="9"/>
  <c r="M55" i="9"/>
  <c r="M56" i="9"/>
  <c r="L60" i="9"/>
  <c r="M47" i="9"/>
  <c r="N67" i="9"/>
  <c r="O60" i="9"/>
  <c r="N49" i="9"/>
  <c r="O54" i="9"/>
  <c r="M54" i="9"/>
  <c r="L65" i="9"/>
  <c r="M50" i="9"/>
  <c r="M52" i="9"/>
  <c r="N43" i="9"/>
  <c r="N59" i="9"/>
  <c r="N54" i="9"/>
  <c r="M49" i="9"/>
  <c r="N57" i="9"/>
  <c r="N56" i="9"/>
  <c r="L30" i="9"/>
  <c r="M62" i="9"/>
  <c r="L52" i="9"/>
  <c r="O55" i="9"/>
  <c r="O50" i="9"/>
  <c r="O49" i="9"/>
  <c r="N65" i="9"/>
  <c r="O59" i="9"/>
  <c r="L49" i="9"/>
  <c r="L42" i="10"/>
  <c r="J11" i="4"/>
  <c r="M11" i="13"/>
  <c r="M11" i="33"/>
  <c r="M11" i="23"/>
  <c r="M11" i="29"/>
  <c r="M11" i="35"/>
  <c r="J10" i="4"/>
  <c r="M10" i="20"/>
  <c r="M10" i="23"/>
  <c r="M10" i="13"/>
  <c r="M10" i="24"/>
  <c r="M10" i="35"/>
  <c r="M10" i="51"/>
  <c r="M10" i="41"/>
  <c r="M10" i="29"/>
  <c r="M10" i="33"/>
  <c r="M68" i="20"/>
  <c r="M68" i="13"/>
  <c r="M68" i="27"/>
  <c r="M68" i="23"/>
  <c r="M68" i="29"/>
  <c r="M68" i="35"/>
  <c r="M68" i="33"/>
  <c r="M136" i="26"/>
  <c r="M136" i="34"/>
  <c r="M119" i="23"/>
  <c r="M119" i="20"/>
  <c r="M119" i="27"/>
  <c r="M119" i="13"/>
  <c r="M119" i="35"/>
  <c r="M119" i="29"/>
  <c r="M119" i="33"/>
  <c r="M111" i="23"/>
  <c r="M111" i="20"/>
  <c r="M111" i="27"/>
  <c r="M111" i="35"/>
  <c r="M111" i="29"/>
  <c r="M111" i="13"/>
  <c r="M111" i="33"/>
  <c r="J7" i="4"/>
  <c r="M7" i="19"/>
  <c r="M7" i="13"/>
  <c r="M7" i="23"/>
  <c r="M7" i="22"/>
  <c r="M7" i="25"/>
  <c r="M7" i="20"/>
  <c r="M7" i="24"/>
  <c r="M7" i="29"/>
  <c r="M7" i="41"/>
  <c r="M7" i="51"/>
  <c r="M7" i="35"/>
  <c r="M7" i="33"/>
  <c r="J22" i="4"/>
  <c r="M22" i="20"/>
  <c r="M22" i="13"/>
  <c r="M22" i="24"/>
  <c r="M22" i="51"/>
  <c r="M22" i="23"/>
  <c r="M22" i="29"/>
  <c r="M22" i="35"/>
  <c r="M22" i="33"/>
  <c r="M29" i="23"/>
  <c r="M29" i="13"/>
  <c r="M29" i="29"/>
  <c r="M29" i="35"/>
  <c r="M29" i="24"/>
  <c r="M29" i="20"/>
  <c r="M29" i="33"/>
  <c r="M137" i="26"/>
  <c r="M87" i="13"/>
  <c r="M87" i="20"/>
  <c r="M87" i="23"/>
  <c r="M87" i="27"/>
  <c r="M87" i="33"/>
  <c r="M87" i="29"/>
  <c r="M87" i="35"/>
  <c r="M35" i="13"/>
  <c r="M35" i="23"/>
  <c r="M35" i="29"/>
  <c r="M35" i="35"/>
  <c r="M35" i="33"/>
  <c r="M39" i="13"/>
  <c r="M34" i="13"/>
  <c r="M34" i="23"/>
  <c r="M34" i="29"/>
  <c r="M34" i="35"/>
  <c r="M34" i="33"/>
  <c r="J38" i="4"/>
  <c r="M38" i="13"/>
  <c r="M66" i="13"/>
  <c r="M66" i="20"/>
  <c r="M66" i="27"/>
  <c r="M66" i="35"/>
  <c r="M66" i="33"/>
  <c r="M66" i="23"/>
  <c r="M66" i="29"/>
  <c r="M89" i="20"/>
  <c r="M89" i="13"/>
  <c r="M89" i="23"/>
  <c r="M89" i="27"/>
  <c r="M89" i="29"/>
  <c r="M89" i="35"/>
  <c r="M89" i="33"/>
  <c r="M96" i="33"/>
  <c r="M75" i="33"/>
  <c r="J37" i="4"/>
  <c r="M37" i="13"/>
  <c r="I66" i="9"/>
  <c r="M134" i="26"/>
  <c r="M134" i="34"/>
  <c r="M12" i="13"/>
  <c r="M12" i="23"/>
  <c r="M12" i="29"/>
  <c r="M12" i="35"/>
  <c r="M12" i="33"/>
  <c r="J36" i="4"/>
  <c r="M36" i="13"/>
  <c r="L21" i="10"/>
  <c r="H53" i="10"/>
  <c r="M135" i="26"/>
  <c r="M135" i="34"/>
  <c r="M25" i="23"/>
  <c r="M25" i="13"/>
  <c r="M25" i="20"/>
  <c r="M25" i="29"/>
  <c r="M25" i="33"/>
  <c r="L31" i="10"/>
  <c r="L22" i="10"/>
  <c r="L12" i="10"/>
  <c r="L10" i="10"/>
  <c r="I64" i="9"/>
  <c r="I61" i="9"/>
  <c r="I57" i="9"/>
  <c r="I53" i="9"/>
  <c r="I50" i="9"/>
  <c r="I30" i="9"/>
  <c r="I47" i="9"/>
  <c r="D64" i="9"/>
  <c r="D43" i="9"/>
  <c r="D47" i="9"/>
  <c r="G17" i="10"/>
  <c r="E36" i="9"/>
  <c r="E40" i="9"/>
  <c r="E34" i="9"/>
  <c r="E35" i="9"/>
  <c r="E42" i="9"/>
  <c r="D30" i="9"/>
  <c r="E41" i="9"/>
  <c r="E39" i="9"/>
  <c r="F17" i="10"/>
  <c r="J17" i="10" s="1"/>
  <c r="E38" i="9"/>
  <c r="E37" i="9"/>
  <c r="B27" i="10"/>
  <c r="J27" i="10" s="1"/>
  <c r="J33" i="9"/>
  <c r="E19" i="9"/>
  <c r="C69" i="9"/>
  <c r="E10" i="9"/>
  <c r="J39" i="9"/>
  <c r="E22" i="9"/>
  <c r="J11" i="9"/>
  <c r="E14" i="9"/>
  <c r="G27" i="10"/>
  <c r="H27" i="10" s="1"/>
  <c r="J25" i="9"/>
  <c r="E18" i="9"/>
  <c r="E12" i="9"/>
  <c r="J19" i="9"/>
  <c r="J13" i="9"/>
  <c r="H69" i="9"/>
  <c r="E28" i="9"/>
  <c r="E21" i="9"/>
  <c r="E16" i="9"/>
  <c r="E17" i="9"/>
  <c r="J9" i="9"/>
  <c r="J17" i="9"/>
  <c r="J29" i="9"/>
  <c r="J12" i="9"/>
  <c r="J10" i="9"/>
  <c r="J14" i="9"/>
  <c r="B69" i="9"/>
  <c r="E24" i="9"/>
  <c r="E13" i="9"/>
  <c r="E9" i="9"/>
  <c r="C17" i="10"/>
  <c r="D17" i="10" s="1"/>
  <c r="J26" i="9"/>
  <c r="C27" i="10"/>
  <c r="J21" i="9"/>
  <c r="J15" i="9"/>
  <c r="J18" i="9"/>
  <c r="J16" i="9"/>
  <c r="J24" i="9"/>
  <c r="E29" i="9"/>
  <c r="E11" i="9"/>
  <c r="E20" i="9"/>
  <c r="E23" i="9"/>
  <c r="E25" i="9"/>
  <c r="E26" i="9"/>
  <c r="E27" i="9"/>
  <c r="J22" i="9"/>
  <c r="J27" i="9"/>
  <c r="J28" i="9"/>
  <c r="J20" i="9"/>
  <c r="J40" i="9"/>
  <c r="J41" i="9"/>
  <c r="G69" i="9"/>
  <c r="J34" i="9"/>
  <c r="J35" i="9"/>
  <c r="J38" i="9"/>
  <c r="I43" i="9"/>
  <c r="J36" i="9"/>
  <c r="J42" i="9"/>
  <c r="J119" i="4"/>
  <c r="J137" i="4"/>
  <c r="J135" i="4"/>
  <c r="J111" i="4"/>
  <c r="J12" i="4"/>
  <c r="J66" i="4"/>
  <c r="J35" i="4"/>
  <c r="J134" i="4"/>
  <c r="J34" i="4"/>
  <c r="J136" i="4"/>
  <c r="J68" i="4"/>
  <c r="J89" i="4"/>
  <c r="J87" i="4"/>
  <c r="J29" i="4"/>
  <c r="K53" i="10"/>
  <c r="K55" i="10"/>
  <c r="L44" i="10"/>
  <c r="L23" i="10"/>
  <c r="H55" i="10"/>
  <c r="L30" i="10"/>
  <c r="G57" i="10"/>
  <c r="L32" i="10"/>
  <c r="H54" i="10"/>
  <c r="L34" i="10"/>
  <c r="L43" i="10"/>
  <c r="K46" i="10"/>
  <c r="H46" i="10"/>
  <c r="L41" i="10"/>
  <c r="L13" i="10"/>
  <c r="L25" i="10"/>
  <c r="H30" i="4"/>
  <c r="J30" i="4" s="1"/>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J68" i="9" l="1"/>
  <c r="I68" i="9" s="1"/>
  <c r="J63" i="9"/>
  <c r="E67" i="9"/>
  <c r="D67" i="9" s="1"/>
  <c r="E63" i="9"/>
  <c r="L55" i="10"/>
  <c r="M69" i="9"/>
  <c r="O69" i="9"/>
  <c r="L69" i="9"/>
  <c r="N69" i="9"/>
  <c r="L53" i="10"/>
  <c r="J43" i="9"/>
  <c r="J30" i="9"/>
  <c r="I69" i="9"/>
  <c r="E43" i="9"/>
  <c r="D69" i="9"/>
  <c r="H17" i="10"/>
  <c r="E52" i="9"/>
  <c r="D52" i="9" s="1"/>
  <c r="E58" i="9"/>
  <c r="D58" i="9" s="1"/>
  <c r="E51" i="9"/>
  <c r="D51" i="9" s="1"/>
  <c r="E50" i="9"/>
  <c r="D50" i="9" s="1"/>
  <c r="J53" i="9"/>
  <c r="J52" i="9"/>
  <c r="I52" i="9" s="1"/>
  <c r="D27" i="10"/>
  <c r="E54" i="9"/>
  <c r="D54" i="9" s="1"/>
  <c r="E60" i="9"/>
  <c r="D60" i="9" s="1"/>
  <c r="E55" i="9"/>
  <c r="D55" i="9" s="1"/>
  <c r="E61" i="9"/>
  <c r="D61" i="9" s="1"/>
  <c r="K27" i="10"/>
  <c r="L27" i="10" s="1"/>
  <c r="J64" i="9"/>
  <c r="J60" i="9"/>
  <c r="I60" i="9" s="1"/>
  <c r="J49" i="9"/>
  <c r="I49" i="9" s="1"/>
  <c r="J56" i="9"/>
  <c r="I56" i="9" s="1"/>
  <c r="E56" i="9"/>
  <c r="D56" i="9" s="1"/>
  <c r="E48" i="9"/>
  <c r="D48" i="9" s="1"/>
  <c r="E47" i="9"/>
  <c r="E64" i="9"/>
  <c r="E68" i="9"/>
  <c r="D68" i="9" s="1"/>
  <c r="E65" i="9"/>
  <c r="D65" i="9" s="1"/>
  <c r="E59" i="9"/>
  <c r="D59" i="9" s="1"/>
  <c r="K17" i="10"/>
  <c r="L17" i="10" s="1"/>
  <c r="J59" i="9"/>
  <c r="I59" i="9" s="1"/>
  <c r="J48" i="9"/>
  <c r="I48" i="9" s="1"/>
  <c r="J54" i="9"/>
  <c r="I54" i="9" s="1"/>
  <c r="J61" i="9"/>
  <c r="J55" i="9"/>
  <c r="I55" i="9" s="1"/>
  <c r="J62" i="9"/>
  <c r="I62" i="9" s="1"/>
  <c r="J50" i="9"/>
  <c r="J57" i="9"/>
  <c r="J67" i="9"/>
  <c r="I67" i="9" s="1"/>
  <c r="J47" i="9"/>
  <c r="J58" i="9"/>
  <c r="I58" i="9" s="1"/>
  <c r="J51" i="9"/>
  <c r="I51" i="9" s="1"/>
  <c r="J65" i="9"/>
  <c r="I65" i="9" s="1"/>
  <c r="J66" i="9"/>
  <c r="E57" i="9"/>
  <c r="D57" i="9" s="1"/>
  <c r="E62" i="9"/>
  <c r="D62" i="9" s="1"/>
  <c r="E49" i="9"/>
  <c r="D49" i="9" s="1"/>
  <c r="E53" i="9"/>
  <c r="D53" i="9" s="1"/>
  <c r="E66" i="9"/>
  <c r="D66" i="9" s="1"/>
  <c r="E30" i="9"/>
  <c r="K57" i="10"/>
  <c r="H57" i="10"/>
  <c r="L46" i="10"/>
  <c r="L35" i="10"/>
  <c r="L54" i="10"/>
  <c r="J57" i="10"/>
  <c r="D57" i="10"/>
  <c r="L52" i="10"/>
  <c r="J69" i="9" l="1"/>
  <c r="E69" i="9"/>
  <c r="L57" i="1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pørring - Data" description="Tilkobling til spørringen Data i arbeidsboken." type="5" refreshedVersion="6"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<sst xmlns="http://schemas.openxmlformats.org/spreadsheetml/2006/main" count="5288" uniqueCount="424">
  <si>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</si>
  <si>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</si>
  <si>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</si>
  <si>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</si>
  <si>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</si>
  <si>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</si>
  <si>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</si>
  <si>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</si>
  <si>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</si>
  <si>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</si>
  <si>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</si>
  <si>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</si>
  <si>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</si>
  <si>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</si>
  <si>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</si>
  <si>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</si>
  <si>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</si>
  <si>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</si>
  <si>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</si>
  <si>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</si>
  <si>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</si>
  <si>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</si>
  <si>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</si>
  <si>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</si>
  <si>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</si>
  <si>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</si>
  <si>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</si>
  <si>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</si>
  <si>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</si>
  <si>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</si>
  <si>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</si>
  <si>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</si>
  <si>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</si>
  <si>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</si>
  <si>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</si>
  <si>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</si>
  <si>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</si>
  <si>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</si>
  <si>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</si>
  <si>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</si>
  <si>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</si>
  <si>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</si>
  <si>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</si>
  <si>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</si>
  <si>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</si>
  <si>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</si>
  <si>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</si>
  <si>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</si>
  <si>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</si>
  <si>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</si>
  <si>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</si>
  <si>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</si>
  <si>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</si>
  <si>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</si>
  <si>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Danica Pensjon</t>
  </si>
  <si>
    <t>DNB Liv</t>
  </si>
  <si>
    <t>Eika Forsikring</t>
  </si>
  <si>
    <t>Frende Livsfors</t>
  </si>
  <si>
    <t>Frende Skade</t>
  </si>
  <si>
    <t>Gjensidige Fors</t>
  </si>
  <si>
    <t>Gjensidige Pensj</t>
  </si>
  <si>
    <t>Handelsb Liv</t>
  </si>
  <si>
    <t>If Skadefors</t>
  </si>
  <si>
    <t>KLP</t>
  </si>
  <si>
    <t>KLP Bedriftsp</t>
  </si>
  <si>
    <t>KLP Skadef</t>
  </si>
  <si>
    <t>Landbruksfors.</t>
  </si>
  <si>
    <t>NEMI</t>
  </si>
  <si>
    <t>Nordea Liv</t>
  </si>
  <si>
    <t>OPF</t>
  </si>
  <si>
    <t>SpareBank 1</t>
  </si>
  <si>
    <t xml:space="preserve">Storebrand </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</si>
  <si>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</si>
  <si>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</si>
  <si>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</si>
  <si>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</si>
  <si>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</si>
  <si>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</si>
  <si>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</si>
  <si>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</si>
  <si>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</si>
  <si>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</si>
  <si>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</si>
  <si>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</si>
  <si>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</si>
  <si>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</si>
  <si>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Danica Pensjonsforsikring</t>
  </si>
  <si>
    <t>DNB Livsforsikring</t>
  </si>
  <si>
    <t>Eika Forsikring AS</t>
  </si>
  <si>
    <t>Frende Livsforsikring</t>
  </si>
  <si>
    <t>Frende Skadeforsikring</t>
  </si>
  <si>
    <t>Gjensidige Forsikring</t>
  </si>
  <si>
    <t>Gjensidige Pensjon</t>
  </si>
  <si>
    <t>Handelsbanken Liv</t>
  </si>
  <si>
    <t>If Skadeforsikring NUF</t>
  </si>
  <si>
    <t>KLP Bedriftspensjon AS</t>
  </si>
  <si>
    <t>KLP Skadeforsikring AS</t>
  </si>
  <si>
    <t>Landbruksforsikring AS</t>
  </si>
  <si>
    <t>NEMI Forsikring</t>
  </si>
  <si>
    <t xml:space="preserve">Nordea Liv </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</si>
  <si>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</si>
  <si>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</si>
  <si>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</si>
  <si>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</si>
  <si>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</si>
  <si>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</si>
  <si>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</si>
  <si>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</si>
  <si>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</si>
  <si>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</si>
  <si>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</si>
  <si>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</si>
  <si>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</si>
  <si>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</si>
  <si>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</si>
  <si>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</si>
  <si>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</si>
  <si>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</si>
  <si>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</si>
  <si>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</si>
  <si>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</si>
  <si>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</si>
  <si>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</si>
  <si>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</si>
  <si>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</si>
  <si>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</si>
  <si>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</si>
  <si>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</si>
  <si>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</si>
  <si>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DNB Livsforsikring ASA</t>
  </si>
  <si>
    <t>Eika Gruppen AS</t>
  </si>
  <si>
    <t>Frende Livsforsikring AS</t>
  </si>
  <si>
    <t>Frende Skadeforsikring AS</t>
  </si>
  <si>
    <t>Gjensidige Forsikring ASA</t>
  </si>
  <si>
    <t>Gjensidige Pensjon og Sparing</t>
  </si>
  <si>
    <t>If Skadeforsikring nuf</t>
  </si>
  <si>
    <t>NEMI Forsikring AS</t>
  </si>
  <si>
    <t>Livsforsikringsselskapet Nordea Liv Norge AS</t>
  </si>
  <si>
    <t>Telenor Forsikring AS</t>
  </si>
  <si>
    <t>SpareBank 1 Forsikring AS</t>
  </si>
  <si>
    <t>Storebrand ASA</t>
  </si>
  <si>
    <t>KLP Skadeforsikring</t>
  </si>
  <si>
    <t>Selskap</t>
  </si>
  <si>
    <t>Flytting fra andre</t>
  </si>
  <si>
    <t>Flytting til andre</t>
  </si>
  <si>
    <t>Q8</t>
  </si>
  <si>
    <t>Q9</t>
  </si>
  <si>
    <t>Q10</t>
  </si>
  <si>
    <t>Q14</t>
  </si>
  <si>
    <t>Q15</t>
  </si>
  <si>
    <t>Q16</t>
  </si>
  <si>
    <t>R7</t>
  </si>
  <si>
    <t>R8</t>
  </si>
  <si>
    <t>R9</t>
  </si>
  <si>
    <t>R10</t>
  </si>
  <si>
    <t>R14</t>
  </si>
  <si>
    <t>R15</t>
  </si>
  <si>
    <t>R16</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</si>
  <si>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</si>
  <si>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</si>
  <si>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</si>
  <si>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</si>
  <si>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</si>
  <si>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</si>
  <si>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</si>
  <si>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</si>
  <si>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</si>
  <si>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</si>
  <si>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</si>
  <si>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</si>
  <si>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</si>
  <si>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</si>
  <si>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</si>
  <si>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</si>
  <si>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</si>
  <si>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</si>
  <si>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</si>
  <si>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</si>
  <si>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</si>
  <si>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</si>
  <si>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</si>
  <si>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</si>
  <si>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</si>
  <si>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</si>
  <si>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</si>
  <si>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</si>
  <si>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</si>
  <si>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</si>
  <si>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</si>
  <si>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t>Bedriftspensjon AS</t>
  </si>
  <si>
    <r>
      <t>norske livselskaper</t>
    </r>
    <r>
      <rPr>
        <b/>
        <vertAlign val="superscript"/>
        <sz val="14"/>
        <rFont val="Times New Roman"/>
        <family val="1"/>
      </rPr>
      <t xml:space="preserve"> </t>
    </r>
  </si>
  <si>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</si>
  <si>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</si>
  <si>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</si>
  <si>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</si>
  <si>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</si>
  <si>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</si>
  <si>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</si>
  <si>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</si>
  <si>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</si>
  <si>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</si>
  <si>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</si>
  <si>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</si>
  <si>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</si>
  <si>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</si>
  <si>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</si>
  <si>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</si>
  <si>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</si>
  <si>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</si>
  <si>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</si>
  <si>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</si>
  <si>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</si>
  <si>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</si>
  <si>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</si>
  <si>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</si>
  <si>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</si>
  <si>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</si>
  <si>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</si>
  <si>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</si>
  <si>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</si>
  <si>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</si>
  <si>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</si>
  <si>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</si>
  <si>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</si>
  <si>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</si>
  <si>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</si>
  <si>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</si>
  <si>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</si>
  <si>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</si>
  <si>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</si>
  <si>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</si>
  <si>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</si>
  <si>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</si>
  <si>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</si>
  <si>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</si>
  <si>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</si>
  <si>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</si>
  <si>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</si>
  <si>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</si>
  <si>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</si>
  <si>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</si>
  <si>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</si>
  <si>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</si>
  <si>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</si>
  <si>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</si>
  <si>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</si>
  <si>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</si>
  <si>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</si>
  <si>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</si>
  <si>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</si>
  <si>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</si>
  <si>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</si>
  <si>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</si>
  <si>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</si>
  <si>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</si>
  <si>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</si>
  <si>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</si>
  <si>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</si>
  <si>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</si>
  <si>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</si>
  <si>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</si>
  <si>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</si>
  <si>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</si>
  <si>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</si>
  <si>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</si>
  <si>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</si>
  <si>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</si>
  <si>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</si>
  <si>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</si>
  <si>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</si>
  <si>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</si>
  <si>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</si>
  <si>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</si>
  <si>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</si>
  <si>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</si>
  <si>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</si>
  <si>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</si>
  <si>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</si>
  <si>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</si>
  <si>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</si>
  <si>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</si>
  <si>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</si>
  <si>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</si>
  <si>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</si>
  <si>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</si>
  <si>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</si>
  <si>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</si>
  <si>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</si>
  <si>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</si>
  <si>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</si>
  <si>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</si>
  <si>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</si>
  <si>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</si>
  <si>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</si>
  <si>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</si>
  <si>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</si>
  <si>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</si>
  <si>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</si>
  <si>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</si>
  <si>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</si>
  <si>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</si>
  <si>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</si>
  <si>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</si>
  <si>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</si>
  <si>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</si>
  <si>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</si>
  <si>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</si>
  <si>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</si>
  <si>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</si>
  <si>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</si>
  <si>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</si>
  <si>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</si>
  <si>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</si>
  <si>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</si>
  <si>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</si>
  <si>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</si>
  <si>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</si>
  <si>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</si>
  <si>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</si>
  <si>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</si>
  <si>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</si>
  <si>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</si>
  <si>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</si>
  <si>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</si>
  <si>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</si>
  <si>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</si>
  <si>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</si>
  <si>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</si>
  <si>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</si>
  <si>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</si>
  <si>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</si>
  <si>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</si>
  <si>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</si>
  <si>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</si>
  <si>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</si>
  <si>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</si>
  <si>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</si>
  <si>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</si>
  <si>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</si>
  <si>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</si>
  <si>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</si>
  <si>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</si>
  <si>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</si>
  <si>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</si>
  <si>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</si>
  <si>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</si>
  <si>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</si>
  <si>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</si>
  <si>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</si>
  <si>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</si>
  <si>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</si>
  <si>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</si>
  <si>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</si>
  <si>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</si>
  <si>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</si>
  <si>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</si>
  <si>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</si>
  <si>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</si>
  <si>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</si>
  <si>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</si>
  <si>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</si>
  <si>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</si>
  <si>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</si>
  <si>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</si>
  <si>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</si>
  <si>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</si>
  <si>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</si>
  <si>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</si>
  <si>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 xml:space="preserve">    13.5 Andre tekniske avsetninger for skadeforsikringsvirksomheten</t>
  </si>
  <si>
    <t xml:space="preserve">    5.2 Overføring av premieres., tilleggsavsetn. til andre selskap/kasser</t>
  </si>
  <si>
    <t>Protector Forsikring</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</si>
  <si>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</si>
  <si>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</si>
  <si>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</si>
  <si>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</si>
  <si>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</si>
  <si>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</si>
  <si>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</si>
  <si>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Forsikringsforpliktelser </t>
    </r>
    <r>
      <rPr>
        <b/>
        <vertAlign val="superscript"/>
        <sz val="10"/>
        <rFont val="Times New Roman"/>
        <family val="1"/>
      </rPr>
      <t>6</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</si>
  <si>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</si>
  <si>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</si>
  <si>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</si>
  <si>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</si>
  <si>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</si>
  <si>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</si>
  <si>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</si>
  <si>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</si>
  <si>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</si>
  <si>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</si>
  <si>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</si>
  <si>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</si>
  <si>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</si>
  <si>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  Herav pensjonsbevis</t>
    </r>
    <r>
      <rPr>
        <vertAlign val="superscript"/>
        <sz val="10"/>
        <rFont val="Times New Roman"/>
        <family val="1"/>
      </rPr>
      <t>14</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</si>
  <si>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</si>
  <si>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</si>
  <si>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Brutto forfalt premie </t>
    </r>
    <r>
      <rPr>
        <b/>
        <vertAlign val="superscript"/>
        <sz val="10"/>
        <rFont val="Times New Roman"/>
        <family val="1"/>
      </rPr>
      <t>1, 15</t>
    </r>
  </si>
  <si>
    <r>
      <t xml:space="preserve">Forsikringsforpliktelser </t>
    </r>
    <r>
      <rPr>
        <b/>
        <vertAlign val="superscript"/>
        <sz val="10"/>
        <rFont val="Times New Roman"/>
        <family val="1"/>
      </rPr>
      <t>4, 15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</si>
  <si>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</si>
  <si>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6, 15</t>
    </r>
  </si>
  <si>
    <r>
      <t xml:space="preserve">  Herav fripoliser </t>
    </r>
    <r>
      <rPr>
        <vertAlign val="superscript"/>
        <sz val="10"/>
        <rFont val="Times New Roman"/>
        <family val="1"/>
      </rPr>
      <t>14</t>
    </r>
  </si>
  <si>
    <r>
      <t xml:space="preserve">Forsikringsforpliktelser </t>
    </r>
    <r>
      <rPr>
        <b/>
        <vertAlign val="superscript"/>
        <sz val="10"/>
        <rFont val="Times New Roman"/>
        <family val="1"/>
      </rPr>
      <t>5, 15</t>
    </r>
  </si>
  <si>
    <r>
      <t>Forsikringsforpliktelser</t>
    </r>
    <r>
      <rPr>
        <sz val="14"/>
        <rFont val="Times New Roman"/>
        <family val="1"/>
      </rPr>
      <t xml:space="preserve"> </t>
    </r>
    <r>
      <rPr>
        <vertAlign val="superscript"/>
        <sz val="14"/>
        <rFont val="Times New Roman"/>
        <family val="1"/>
      </rPr>
      <t>4)</t>
    </r>
  </si>
  <si>
    <t>Protector Fors</t>
  </si>
  <si>
    <t xml:space="preserve">    13.1 Premiereserve mv.</t>
  </si>
  <si>
    <t xml:space="preserve">    13.4 Premiefond, innskuddsfond og fond for regulering av pensjoner mv.</t>
  </si>
  <si>
    <t xml:space="preserve">    14.1 Premiekapital mv.</t>
  </si>
  <si>
    <t xml:space="preserve">    14.2 Tilleggsavsetninger</t>
  </si>
  <si>
    <t xml:space="preserve">    14.3 Premiefond, innskuddsfond og fond for regulering av pensjoner mv.</t>
  </si>
  <si>
    <t>Figur 1  Brutto forfalt premie livprodukter  -  produkter uten investeringsvalg pr. 30.06.</t>
  </si>
  <si>
    <t>Figur 2  Brutto forfalt premie livprodukter  -  produkter med investeringsvalg pr. 30.06.</t>
  </si>
  <si>
    <t>Figur 3  Forsikringsforpliktelser i livsforsikring  -  produkter uten investeringsvalg pr. 30.06.</t>
  </si>
  <si>
    <t>Figur 4  Forsikringsforpliktelser i livsforsikring -  produkter med investeringsvalg pr. 30.06.</t>
  </si>
  <si>
    <t>Figur 5  Netto tilflytting livprodukter  -  produkter uten investeringsvalg pr. 30.06.</t>
  </si>
  <si>
    <t>Figur 6  Netto tilflytting livprodukter  -  produkter med investeringsvalg pr. 30.06.</t>
  </si>
  <si>
    <t>30.06.</t>
  </si>
  <si>
    <t/>
  </si>
  <si>
    <t>30.6.</t>
  </si>
  <si>
    <t>Avkastningstall (%)</t>
  </si>
  <si>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</si>
  <si>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</si>
  <si>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</si>
  <si>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Mer/mindre-verdier</t>
  </si>
  <si>
    <t>30.6.2018</t>
  </si>
  <si>
    <t>30.6.2019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</si>
</sst>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0.0"/>
    <numFmt numFmtId="166" formatCode="_ * #,##0_ ;_ * \-#,##0_ ;_ * &quot;-&quot;??_ ;_ @_ "/>
    <numFmt numFmtId="167" formatCode="dd/mm/yy;@"/>
    <numFmt numFmtId="168" formatCode="0;\-0;;@"/>
    <numFmt numFmtId="169" formatCode="0.0"/>
    <numFmt numFmtId="170" formatCode="#,##0_ ;\-#,##0\ "/>
    <numFmt numFmtId="171" formatCode="_ * #,##0_ ;_ * \-#,##0_ ;_ * &quot;&quot;??_ ;_ @_ "/>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sz val="10"/>
      <color rgb="FFFF0000"/>
      <name val="Arial"/>
      <family val="2"/>
    </font>
    <font>
      <u/>
      <sz val="12"/>
      <name val="Times New Roman"/>
      <family val="1"/>
    </font>
    <font>
      <b/>
      <sz val="12"/>
      <color rgb="FFFF0000"/>
      <name val="Times New Roman"/>
      <family val="1"/>
    </font>
    <font>
      <sz val="10"/>
      <color theme="0"/>
      <name val="Times New Roman"/>
      <family val="1"/>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rgb="FFFFFF00"/>
        <bgColor indexed="64"/>
      </patternFill>
    </fill>
    <fill>
      <patternFill patternType="solid">
        <fgColor indexed="9"/>
        <bgColor indexed="9"/>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51">
    <xf numFmtId="0" fontId="0" fillId="0" borderId="0"/>
    <xf numFmtId="0" fontId="19" fillId="0" borderId="0"/>
    <xf numFmtId="164" fontId="25" fillId="0" borderId="0" applyFont="0" applyFill="0" applyBorder="0" applyAlignment="0" applyProtection="0"/>
    <xf numFmtId="0" fontId="43" fillId="0" borderId="0" applyNumberFormat="0" applyFill="0" applyBorder="0" applyAlignment="0" applyProtection="0">
      <alignment vertical="top"/>
      <protection locked="0"/>
    </xf>
    <xf numFmtId="0" fontId="12" fillId="0" borderId="0"/>
    <xf numFmtId="0" fontId="19" fillId="0" borderId="0"/>
    <xf numFmtId="0" fontId="11" fillId="0" borderId="0"/>
    <xf numFmtId="0" fontId="19" fillId="0" borderId="0"/>
    <xf numFmtId="0" fontId="10" fillId="0" borderId="0"/>
    <xf numFmtId="0" fontId="19" fillId="0" borderId="0"/>
    <xf numFmtId="0" fontId="25" fillId="0" borderId="0"/>
    <xf numFmtId="0" fontId="10" fillId="0" borderId="0"/>
    <xf numFmtId="0" fontId="19"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0" fillId="0" borderId="0" applyFont="0" applyFill="0" applyBorder="0" applyAlignment="0" applyProtection="0"/>
    <xf numFmtId="164" fontId="19" fillId="0" borderId="0" applyFont="0" applyFill="0" applyBorder="0" applyAlignment="0" applyProtection="0"/>
    <xf numFmtId="0" fontId="10" fillId="0" borderId="0"/>
    <xf numFmtId="0" fontId="19" fillId="0" borderId="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5" borderId="16" applyNumberFormat="0" applyFont="0" applyAlignment="0" applyProtection="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164" fontId="25" fillId="0" borderId="0" applyFont="0" applyFill="0" applyBorder="0" applyAlignment="0" applyProtection="0"/>
    <xf numFmtId="0" fontId="10"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2" fillId="0" borderId="0"/>
    <xf numFmtId="0" fontId="2"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0" fontId="2" fillId="0" borderId="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6" borderId="0" applyNumberFormat="0" applyBorder="0" applyAlignment="0" applyProtection="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6"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 fillId="7" borderId="0" applyNumberFormat="0" applyBorder="0" applyAlignment="0" applyProtection="0"/>
    <xf numFmtId="0" fontId="14" fillId="0" borderId="0"/>
    <xf numFmtId="171" fontId="15" fillId="0" borderId="7" applyFont="0" applyFill="0" applyBorder="0" applyAlignment="0" applyProtection="0">
      <alignment horizontal="right"/>
    </xf>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9" fillId="0" borderId="0"/>
  </cellStyleXfs>
  <cellXfs count="728">
    <xf numFmtId="0" fontId="0" fillId="0" borderId="0" xfId="0"/>
    <xf numFmtId="0" fontId="17" fillId="0" borderId="0" xfId="1" applyFont="1"/>
    <xf numFmtId="0" fontId="23" fillId="0" borderId="0" xfId="1" applyFont="1"/>
    <xf numFmtId="0" fontId="17" fillId="0" borderId="0" xfId="1" applyFont="1" applyFill="1"/>
    <xf numFmtId="0" fontId="17" fillId="0" borderId="0" xfId="1" applyFont="1" applyBorder="1"/>
    <xf numFmtId="49" fontId="17" fillId="0" borderId="0" xfId="1" applyNumberFormat="1" applyFont="1" applyFill="1" applyBorder="1" applyAlignment="1">
      <alignment horizontal="center"/>
    </xf>
    <xf numFmtId="165" fontId="17" fillId="0" borderId="0" xfId="1" applyNumberFormat="1" applyFont="1" applyFill="1" applyBorder="1"/>
    <xf numFmtId="0" fontId="17" fillId="0" borderId="0" xfId="1" applyFont="1" applyFill="1" applyBorder="1"/>
    <xf numFmtId="0" fontId="17" fillId="0" borderId="0" xfId="1" applyFont="1" applyFill="1" applyAlignment="1">
      <alignment horizontal="left"/>
    </xf>
    <xf numFmtId="165" fontId="15" fillId="3" borderId="5" xfId="1" applyNumberFormat="1" applyFont="1" applyFill="1" applyBorder="1" applyAlignment="1">
      <alignment horizontal="right"/>
    </xf>
    <xf numFmtId="0" fontId="17" fillId="0" borderId="6" xfId="1" applyFont="1" applyBorder="1"/>
    <xf numFmtId="165" fontId="15" fillId="3" borderId="2" xfId="1" applyNumberFormat="1" applyFont="1" applyFill="1" applyBorder="1" applyAlignment="1">
      <alignment horizontal="right"/>
    </xf>
    <xf numFmtId="0" fontId="15" fillId="0" borderId="4" xfId="1" applyFont="1" applyBorder="1"/>
    <xf numFmtId="0" fontId="15" fillId="0" borderId="3" xfId="1" applyFont="1" applyBorder="1"/>
    <xf numFmtId="0" fontId="15" fillId="0" borderId="7" xfId="1" applyFont="1" applyBorder="1"/>
    <xf numFmtId="0" fontId="15" fillId="0" borderId="6" xfId="1" applyFont="1" applyBorder="1" applyAlignment="1">
      <alignment horizontal="center"/>
    </xf>
    <xf numFmtId="0" fontId="15" fillId="0" borderId="11" xfId="1" applyFont="1" applyBorder="1" applyAlignment="1">
      <alignment horizontal="center"/>
    </xf>
    <xf numFmtId="0" fontId="15" fillId="0" borderId="5" xfId="1" applyFont="1" applyBorder="1" applyAlignment="1">
      <alignment horizontal="center"/>
    </xf>
    <xf numFmtId="0" fontId="15" fillId="0" borderId="11" xfId="1" applyFont="1" applyBorder="1"/>
    <xf numFmtId="0" fontId="15" fillId="0" borderId="7" xfId="1" applyFont="1" applyBorder="1" applyAlignment="1">
      <alignment horizontal="center"/>
    </xf>
    <xf numFmtId="14" fontId="16" fillId="0" borderId="4" xfId="1" applyNumberFormat="1" applyFont="1" applyBorder="1" applyAlignment="1">
      <alignment horizontal="center"/>
    </xf>
    <xf numFmtId="0" fontId="17" fillId="0" borderId="3" xfId="1" applyFont="1" applyBorder="1"/>
    <xf numFmtId="165" fontId="17" fillId="3" borderId="6" xfId="1" applyNumberFormat="1" applyFont="1" applyFill="1" applyBorder="1" applyAlignment="1">
      <alignment horizontal="right"/>
    </xf>
    <xf numFmtId="165" fontId="17" fillId="3" borderId="3" xfId="1" applyNumberFormat="1" applyFont="1" applyFill="1" applyBorder="1" applyAlignment="1">
      <alignment horizontal="right"/>
    </xf>
    <xf numFmtId="165" fontId="15" fillId="3" borderId="3" xfId="1" applyNumberFormat="1" applyFont="1" applyFill="1" applyBorder="1" applyAlignment="1">
      <alignment horizontal="right"/>
    </xf>
    <xf numFmtId="165" fontId="17" fillId="0" borderId="0" xfId="1" applyNumberFormat="1" applyFont="1" applyBorder="1"/>
    <xf numFmtId="3" fontId="17" fillId="0" borderId="0" xfId="1" applyNumberFormat="1" applyFont="1" applyBorder="1"/>
    <xf numFmtId="165" fontId="17" fillId="3" borderId="2" xfId="1" applyNumberFormat="1" applyFont="1" applyFill="1" applyBorder="1" applyAlignment="1">
      <alignment horizontal="right"/>
    </xf>
    <xf numFmtId="0" fontId="14" fillId="0" borderId="0" xfId="1" applyFont="1"/>
    <xf numFmtId="0" fontId="21" fillId="0" borderId="0" xfId="1" applyFont="1"/>
    <xf numFmtId="0" fontId="14" fillId="0" borderId="0" xfId="1" applyFont="1" applyFill="1"/>
    <xf numFmtId="0" fontId="14" fillId="0" borderId="0" xfId="1" applyFont="1" applyFill="1" applyBorder="1"/>
    <xf numFmtId="165" fontId="15" fillId="0" borderId="0" xfId="1" applyNumberFormat="1" applyFont="1" applyFill="1" applyBorder="1" applyAlignment="1">
      <alignment horizontal="right"/>
    </xf>
    <xf numFmtId="3" fontId="17" fillId="0" borderId="0" xfId="1" applyNumberFormat="1" applyFont="1" applyFill="1" applyBorder="1" applyAlignment="1">
      <alignment horizontal="center"/>
    </xf>
    <xf numFmtId="165" fontId="17" fillId="0" borderId="0" xfId="1" applyNumberFormat="1" applyFont="1" applyFill="1" applyBorder="1" applyAlignment="1">
      <alignment horizontal="right"/>
    </xf>
    <xf numFmtId="49" fontId="17" fillId="0" borderId="0" xfId="1" applyNumberFormat="1" applyFont="1" applyFill="1" applyBorder="1" applyAlignment="1">
      <alignment horizontal="right"/>
    </xf>
    <xf numFmtId="165" fontId="15" fillId="3" borderId="6" xfId="1" applyNumberFormat="1" applyFont="1" applyFill="1" applyBorder="1" applyAlignment="1">
      <alignment horizontal="right"/>
    </xf>
    <xf numFmtId="3" fontId="17" fillId="0" borderId="0" xfId="1" quotePrefix="1" applyNumberFormat="1" applyFont="1" applyFill="1" applyBorder="1" applyAlignment="1">
      <alignment horizontal="center"/>
    </xf>
    <xf numFmtId="0" fontId="17" fillId="0" borderId="3" xfId="1" applyFont="1" applyFill="1" applyBorder="1"/>
    <xf numFmtId="0" fontId="15" fillId="0" borderId="3" xfId="1" applyFont="1" applyFill="1" applyBorder="1"/>
    <xf numFmtId="0" fontId="15" fillId="0" borderId="0" xfId="1" applyFont="1" applyFill="1" applyBorder="1" applyAlignment="1">
      <alignment horizontal="center"/>
    </xf>
    <xf numFmtId="0" fontId="15" fillId="0" borderId="6" xfId="1" applyFont="1" applyBorder="1"/>
    <xf numFmtId="14" fontId="16" fillId="0" borderId="0" xfId="1" applyNumberFormat="1" applyFont="1" applyFill="1" applyBorder="1" applyAlignment="1">
      <alignment horizontal="center"/>
    </xf>
    <xf numFmtId="0" fontId="15" fillId="0" borderId="0" xfId="1" applyFont="1"/>
    <xf numFmtId="3" fontId="17" fillId="0" borderId="3" xfId="1" applyNumberFormat="1" applyFont="1" applyFill="1" applyBorder="1" applyAlignment="1">
      <alignment horizontal="right"/>
    </xf>
    <xf numFmtId="3" fontId="17" fillId="0" borderId="6" xfId="1" applyNumberFormat="1" applyFont="1" applyFill="1" applyBorder="1" applyAlignment="1">
      <alignment horizontal="right"/>
    </xf>
    <xf numFmtId="0" fontId="17" fillId="0" borderId="6" xfId="1" applyFont="1" applyFill="1" applyBorder="1"/>
    <xf numFmtId="0" fontId="15" fillId="0" borderId="0" xfId="1" applyFont="1" applyBorder="1"/>
    <xf numFmtId="3" fontId="18" fillId="0" borderId="0" xfId="1" applyNumberFormat="1" applyFont="1" applyFill="1" applyBorder="1" applyAlignment="1">
      <alignment horizontal="right"/>
    </xf>
    <xf numFmtId="0" fontId="17" fillId="0" borderId="4" xfId="1" applyFont="1" applyFill="1" applyBorder="1"/>
    <xf numFmtId="0" fontId="17" fillId="0" borderId="0" xfId="1" applyFont="1" applyFill="1" applyAlignment="1">
      <alignment horizontal="right"/>
    </xf>
    <xf numFmtId="0" fontId="19" fillId="0" borderId="0" xfId="1"/>
    <xf numFmtId="0" fontId="26" fillId="0" borderId="0" xfId="1" applyFont="1"/>
    <xf numFmtId="0" fontId="0" fillId="0" borderId="0" xfId="1" applyFont="1"/>
    <xf numFmtId="0" fontId="27" fillId="0" borderId="0" xfId="1" applyFont="1" applyAlignment="1">
      <alignment horizontal="right"/>
    </xf>
    <xf numFmtId="0" fontId="28" fillId="0" borderId="0" xfId="1" applyFont="1" applyAlignment="1">
      <alignment horizontal="lef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right"/>
    </xf>
    <xf numFmtId="0" fontId="19" fillId="0" borderId="0" xfId="1" applyAlignment="1">
      <alignment horizontal="right"/>
    </xf>
    <xf numFmtId="0" fontId="32" fillId="0" borderId="0" xfId="1" applyFont="1" applyAlignment="1">
      <alignment horizontal="left"/>
    </xf>
    <xf numFmtId="14" fontId="33" fillId="0" borderId="0" xfId="1" applyNumberFormat="1" applyFont="1" applyAlignment="1">
      <alignment horizontal="left"/>
    </xf>
    <xf numFmtId="0" fontId="33" fillId="0" borderId="0" xfId="1" applyFont="1" applyAlignment="1">
      <alignment horizontal="left"/>
    </xf>
    <xf numFmtId="0" fontId="34" fillId="0" borderId="0" xfId="1" applyFont="1" applyAlignment="1">
      <alignment vertical="center"/>
    </xf>
    <xf numFmtId="0" fontId="35" fillId="0" borderId="0" xfId="1" applyFont="1" applyAlignment="1">
      <alignment vertical="center"/>
    </xf>
    <xf numFmtId="0" fontId="36" fillId="0" borderId="0" xfId="1" applyFont="1"/>
    <xf numFmtId="14" fontId="37" fillId="0" borderId="0" xfId="1" applyNumberFormat="1" applyFont="1"/>
    <xf numFmtId="0" fontId="38" fillId="0" borderId="0" xfId="0" applyFont="1"/>
    <xf numFmtId="0" fontId="39" fillId="0" borderId="0" xfId="0" applyFont="1"/>
    <xf numFmtId="0" fontId="40" fillId="0" borderId="0" xfId="0" applyFont="1"/>
    <xf numFmtId="0" fontId="42" fillId="0" borderId="0" xfId="0" applyFont="1"/>
    <xf numFmtId="0" fontId="42" fillId="0" borderId="0" xfId="3" applyFont="1" applyAlignment="1" applyProtection="1"/>
    <xf numFmtId="0" fontId="44" fillId="0" borderId="0" xfId="0" applyFont="1"/>
    <xf numFmtId="0" fontId="17" fillId="0" borderId="0" xfId="3" applyFont="1" applyFill="1" applyAlignment="1" applyProtection="1"/>
    <xf numFmtId="0" fontId="30" fillId="0" borderId="0" xfId="0" applyFont="1"/>
    <xf numFmtId="0" fontId="45" fillId="0" borderId="0" xfId="0" applyFont="1"/>
    <xf numFmtId="0" fontId="46" fillId="0" borderId="0" xfId="0" applyFont="1"/>
    <xf numFmtId="3" fontId="30" fillId="0" borderId="0" xfId="0" applyNumberFormat="1" applyFont="1"/>
    <xf numFmtId="3" fontId="30" fillId="0" borderId="0" xfId="0" applyNumberFormat="1" applyFont="1" applyFill="1"/>
    <xf numFmtId="0" fontId="30" fillId="0" borderId="0" xfId="0" applyFont="1" applyFill="1"/>
    <xf numFmtId="0" fontId="41" fillId="0" borderId="0" xfId="0" applyFont="1"/>
    <xf numFmtId="0" fontId="36" fillId="0" borderId="0" xfId="0" applyFont="1"/>
    <xf numFmtId="14" fontId="13" fillId="0" borderId="13" xfId="0" applyNumberFormat="1" applyFont="1" applyFill="1" applyBorder="1" applyAlignment="1">
      <alignment horizontal="left"/>
    </xf>
    <xf numFmtId="0" fontId="30" fillId="0" borderId="10" xfId="0" applyFont="1" applyBorder="1"/>
    <xf numFmtId="0" fontId="30" fillId="0" borderId="8" xfId="0" applyFont="1" applyBorder="1"/>
    <xf numFmtId="0" fontId="30" fillId="0" borderId="9" xfId="0" applyFont="1" applyBorder="1"/>
    <xf numFmtId="0" fontId="30" fillId="0" borderId="3" xfId="0" applyFont="1" applyBorder="1"/>
    <xf numFmtId="0" fontId="17" fillId="0" borderId="0" xfId="0" applyFont="1"/>
    <xf numFmtId="3" fontId="45" fillId="0" borderId="7" xfId="0" applyNumberFormat="1" applyFont="1" applyFill="1" applyBorder="1"/>
    <xf numFmtId="0" fontId="45" fillId="0" borderId="0" xfId="0" applyFont="1" applyBorder="1" applyAlignment="1">
      <alignment horizontal="center"/>
    </xf>
    <xf numFmtId="0" fontId="45" fillId="0" borderId="3" xfId="0" applyFont="1" applyBorder="1" applyAlignment="1">
      <alignment horizontal="center"/>
    </xf>
    <xf numFmtId="3" fontId="45" fillId="0" borderId="3" xfId="0" applyNumberFormat="1" applyFont="1" applyFill="1" applyBorder="1"/>
    <xf numFmtId="0" fontId="15" fillId="0" borderId="4" xfId="0" applyFont="1" applyBorder="1" applyAlignment="1">
      <alignment horizontal="center"/>
    </xf>
    <xf numFmtId="0" fontId="15" fillId="0" borderId="1" xfId="0" applyFont="1" applyBorder="1" applyAlignment="1">
      <alignment horizontal="center"/>
    </xf>
    <xf numFmtId="0" fontId="15" fillId="0" borderId="7" xfId="0" applyFont="1" applyBorder="1" applyAlignment="1">
      <alignment horizontal="center"/>
    </xf>
    <xf numFmtId="0" fontId="15" fillId="0" borderId="3" xfId="0" applyFont="1" applyBorder="1" applyAlignment="1">
      <alignment horizontal="center"/>
    </xf>
    <xf numFmtId="3" fontId="48" fillId="4" borderId="6" xfId="0" applyNumberFormat="1" applyFont="1" applyFill="1" applyBorder="1"/>
    <xf numFmtId="0" fontId="13" fillId="0" borderId="11" xfId="0" applyFont="1" applyBorder="1" applyAlignment="1">
      <alignment horizontal="center"/>
    </xf>
    <xf numFmtId="0" fontId="15" fillId="0" borderId="11" xfId="0" applyFont="1" applyBorder="1" applyAlignment="1">
      <alignment horizontal="center"/>
    </xf>
    <xf numFmtId="0" fontId="15" fillId="0" borderId="6" xfId="0" applyFont="1" applyBorder="1" applyAlignment="1">
      <alignment horizontal="center"/>
    </xf>
    <xf numFmtId="0" fontId="15" fillId="0" borderId="0" xfId="0" applyFont="1" applyBorder="1" applyAlignment="1">
      <alignment horizontal="center"/>
    </xf>
    <xf numFmtId="0" fontId="45" fillId="0" borderId="3" xfId="0" applyFont="1" applyBorder="1"/>
    <xf numFmtId="0" fontId="30" fillId="0" borderId="1" xfId="0" applyFont="1" applyBorder="1"/>
    <xf numFmtId="3" fontId="30" fillId="0" borderId="4" xfId="0" applyNumberFormat="1" applyFont="1" applyBorder="1"/>
    <xf numFmtId="3" fontId="30" fillId="0" borderId="4" xfId="0" applyNumberFormat="1" applyFont="1" applyBorder="1" applyAlignment="1">
      <alignment horizontal="right"/>
    </xf>
    <xf numFmtId="3" fontId="30" fillId="0" borderId="4" xfId="0" applyNumberFormat="1" applyFont="1" applyFill="1" applyBorder="1"/>
    <xf numFmtId="3" fontId="30" fillId="0" borderId="4" xfId="0" applyNumberFormat="1" applyFont="1" applyFill="1" applyBorder="1" applyAlignment="1">
      <alignment horizontal="right"/>
    </xf>
    <xf numFmtId="0" fontId="30" fillId="0" borderId="3" xfId="0" applyFont="1" applyFill="1" applyBorder="1"/>
    <xf numFmtId="0" fontId="30" fillId="0" borderId="4" xfId="0" applyFont="1" applyFill="1" applyBorder="1"/>
    <xf numFmtId="3" fontId="45" fillId="0" borderId="4" xfId="0" applyNumberFormat="1" applyFont="1" applyBorder="1"/>
    <xf numFmtId="3" fontId="45" fillId="0" borderId="4" xfId="0" applyNumberFormat="1" applyFont="1" applyBorder="1" applyAlignment="1">
      <alignment horizontal="right"/>
    </xf>
    <xf numFmtId="0" fontId="15" fillId="0" borderId="0" xfId="0" applyFont="1"/>
    <xf numFmtId="0" fontId="30" fillId="0" borderId="0" xfId="0" applyFont="1" applyBorder="1"/>
    <xf numFmtId="0" fontId="45" fillId="0" borderId="6" xfId="0" applyFont="1" applyBorder="1"/>
    <xf numFmtId="3" fontId="45" fillId="0" borderId="11" xfId="0" applyNumberFormat="1" applyFont="1" applyBorder="1"/>
    <xf numFmtId="3" fontId="45" fillId="0" borderId="11" xfId="0" applyNumberFormat="1" applyFont="1" applyBorder="1" applyAlignment="1">
      <alignment horizontal="right"/>
    </xf>
    <xf numFmtId="0" fontId="30" fillId="0" borderId="0" xfId="0" applyFont="1" applyAlignment="1">
      <alignment horizontal="left"/>
    </xf>
    <xf numFmtId="0" fontId="45" fillId="0" borderId="0" xfId="0" applyFont="1" applyAlignment="1">
      <alignment horizontal="left"/>
    </xf>
    <xf numFmtId="0" fontId="30" fillId="0" borderId="14" xfId="0" applyFont="1" applyBorder="1"/>
    <xf numFmtId="0" fontId="30" fillId="0" borderId="15" xfId="0" applyFont="1" applyBorder="1"/>
    <xf numFmtId="167" fontId="45" fillId="0" borderId="7" xfId="0" applyNumberFormat="1" applyFont="1" applyBorder="1" applyAlignment="1">
      <alignment horizontal="left"/>
    </xf>
    <xf numFmtId="0" fontId="45" fillId="0" borderId="2" xfId="0" applyFont="1" applyBorder="1" applyAlignment="1">
      <alignment horizontal="center"/>
    </xf>
    <xf numFmtId="167" fontId="45" fillId="0" borderId="3" xfId="0" applyNumberFormat="1" applyFont="1" applyBorder="1" applyAlignment="1">
      <alignment horizontal="left"/>
    </xf>
    <xf numFmtId="0" fontId="45" fillId="0" borderId="4" xfId="0" applyFont="1" applyBorder="1" applyAlignment="1">
      <alignment horizontal="center"/>
    </xf>
    <xf numFmtId="0" fontId="45" fillId="0" borderId="1" xfId="0" applyFont="1" applyBorder="1" applyAlignment="1">
      <alignment horizontal="center"/>
    </xf>
    <xf numFmtId="0" fontId="15" fillId="0" borderId="2" xfId="0" applyFont="1" applyBorder="1" applyAlignment="1">
      <alignment horizontal="center"/>
    </xf>
    <xf numFmtId="167" fontId="50" fillId="0" borderId="6" xfId="0" applyNumberFormat="1" applyFont="1" applyBorder="1" applyAlignment="1">
      <alignment horizontal="left"/>
    </xf>
    <xf numFmtId="0" fontId="13" fillId="0" borderId="6" xfId="0" applyFont="1" applyBorder="1" applyAlignment="1">
      <alignment horizontal="center"/>
    </xf>
    <xf numFmtId="0" fontId="15" fillId="0" borderId="12" xfId="0" applyFont="1" applyBorder="1" applyAlignment="1">
      <alignment horizontal="center"/>
    </xf>
    <xf numFmtId="3" fontId="30" fillId="0" borderId="1" xfId="0" applyNumberFormat="1" applyFont="1" applyBorder="1"/>
    <xf numFmtId="3" fontId="30" fillId="0" borderId="2" xfId="0" applyNumberFormat="1" applyFont="1" applyBorder="1"/>
    <xf numFmtId="3" fontId="51" fillId="0" borderId="4" xfId="0" applyNumberFormat="1" applyFont="1" applyFill="1" applyBorder="1" applyAlignment="1">
      <alignment horizontal="right"/>
    </xf>
    <xf numFmtId="0" fontId="46" fillId="0" borderId="0" xfId="0" applyFont="1" applyFill="1"/>
    <xf numFmtId="0" fontId="52" fillId="0" borderId="0" xfId="0" applyFont="1" applyFill="1"/>
    <xf numFmtId="3" fontId="53" fillId="0" borderId="0" xfId="0" applyNumberFormat="1" applyFont="1"/>
    <xf numFmtId="0" fontId="53" fillId="0" borderId="0" xfId="0" applyFont="1"/>
    <xf numFmtId="0" fontId="53" fillId="0" borderId="0" xfId="0" applyFont="1" applyFill="1"/>
    <xf numFmtId="0" fontId="45" fillId="0" borderId="4" xfId="0" applyFont="1" applyBorder="1"/>
    <xf numFmtId="3" fontId="45" fillId="0" borderId="0" xfId="0" applyNumberFormat="1" applyFont="1" applyBorder="1" applyAlignment="1">
      <alignment horizontal="right"/>
    </xf>
    <xf numFmtId="3" fontId="30" fillId="0" borderId="0" xfId="0" applyNumberFormat="1" applyFont="1" applyBorder="1"/>
    <xf numFmtId="3" fontId="15" fillId="0" borderId="4" xfId="1" applyNumberFormat="1" applyFont="1" applyBorder="1"/>
    <xf numFmtId="0" fontId="0" fillId="0" borderId="0" xfId="0"/>
    <xf numFmtId="3" fontId="14" fillId="0" borderId="0" xfId="1" applyNumberFormat="1" applyFont="1" applyFill="1" applyBorder="1"/>
    <xf numFmtId="3" fontId="15" fillId="0" borderId="0" xfId="1" applyNumberFormat="1" applyFont="1"/>
    <xf numFmtId="3" fontId="15" fillId="0" borderId="1" xfId="1" applyNumberFormat="1" applyFont="1" applyBorder="1"/>
    <xf numFmtId="3" fontId="17" fillId="0" borderId="0" xfId="1" applyNumberFormat="1" applyFont="1" applyFill="1" applyBorder="1" applyAlignment="1">
      <alignment horizontal="right"/>
    </xf>
    <xf numFmtId="3" fontId="17" fillId="0" borderId="0" xfId="1" applyNumberFormat="1" applyFont="1" applyFill="1" applyBorder="1"/>
    <xf numFmtId="3" fontId="13" fillId="0" borderId="0" xfId="1" applyNumberFormat="1" applyFont="1"/>
    <xf numFmtId="3" fontId="17" fillId="0" borderId="0" xfId="1" applyNumberFormat="1" applyFont="1" applyFill="1"/>
    <xf numFmtId="3" fontId="17" fillId="0" borderId="0" xfId="1" applyNumberFormat="1" applyFont="1"/>
    <xf numFmtId="3" fontId="15" fillId="0" borderId="5" xfId="1" applyNumberFormat="1" applyFont="1" applyBorder="1" applyAlignment="1">
      <alignment horizontal="center"/>
    </xf>
    <xf numFmtId="3" fontId="21" fillId="0" borderId="0" xfId="1" applyNumberFormat="1" applyFont="1"/>
    <xf numFmtId="3" fontId="16" fillId="0" borderId="4" xfId="1" applyNumberFormat="1" applyFont="1" applyBorder="1" applyAlignment="1">
      <alignment horizontal="center"/>
    </xf>
    <xf numFmtId="3" fontId="17" fillId="0" borderId="4" xfId="1" applyNumberFormat="1" applyFont="1" applyFill="1" applyBorder="1"/>
    <xf numFmtId="3" fontId="14" fillId="0" borderId="0" xfId="1" applyNumberFormat="1" applyFont="1" applyFill="1"/>
    <xf numFmtId="3" fontId="17" fillId="0" borderId="0" xfId="1" applyNumberFormat="1" applyFont="1" applyAlignment="1">
      <alignment horizontal="left"/>
    </xf>
    <xf numFmtId="3" fontId="15" fillId="0" borderId="6" xfId="1" applyNumberFormat="1" applyFont="1" applyBorder="1" applyAlignment="1">
      <alignment horizontal="center"/>
    </xf>
    <xf numFmtId="3" fontId="14" fillId="0" borderId="0" xfId="1" applyNumberFormat="1" applyFont="1"/>
    <xf numFmtId="3" fontId="15" fillId="0" borderId="3" xfId="1" applyNumberFormat="1" applyFont="1" applyBorder="1"/>
    <xf numFmtId="3" fontId="15" fillId="0" borderId="0" xfId="1" applyNumberFormat="1" applyFont="1" applyFill="1" applyBorder="1" applyAlignment="1">
      <alignment horizontal="right"/>
    </xf>
    <xf numFmtId="3" fontId="15" fillId="3" borderId="2" xfId="1" applyNumberFormat="1" applyFont="1" applyFill="1" applyBorder="1" applyAlignment="1">
      <alignment horizontal="right"/>
    </xf>
    <xf numFmtId="3" fontId="15" fillId="0" borderId="11" xfId="1" applyNumberFormat="1" applyFont="1" applyBorder="1" applyAlignment="1">
      <alignment horizontal="center"/>
    </xf>
    <xf numFmtId="3" fontId="15" fillId="0" borderId="7" xfId="1" applyNumberFormat="1" applyFont="1" applyBorder="1" applyAlignment="1">
      <alignment horizontal="center"/>
    </xf>
    <xf numFmtId="3" fontId="13" fillId="0" borderId="12" xfId="1" applyNumberFormat="1" applyFont="1" applyBorder="1"/>
    <xf numFmtId="3" fontId="17" fillId="0" borderId="0" xfId="1" applyNumberFormat="1" applyFont="1" applyFill="1" applyAlignment="1">
      <alignment horizontal="left"/>
    </xf>
    <xf numFmtId="3" fontId="13" fillId="0" borderId="0" xfId="1" applyNumberFormat="1" applyFont="1" applyBorder="1"/>
    <xf numFmtId="3" fontId="17" fillId="3" borderId="3" xfId="1" applyNumberFormat="1" applyFont="1" applyFill="1" applyBorder="1" applyAlignment="1">
      <alignment horizontal="right"/>
    </xf>
    <xf numFmtId="3" fontId="17" fillId="3" borderId="6" xfId="1" applyNumberFormat="1" applyFont="1" applyFill="1" applyBorder="1" applyAlignment="1">
      <alignment horizontal="right"/>
    </xf>
    <xf numFmtId="3" fontId="15" fillId="0" borderId="0" xfId="1" applyNumberFormat="1" applyFont="1" applyBorder="1"/>
    <xf numFmtId="3" fontId="15" fillId="3" borderId="6" xfId="1" applyNumberFormat="1" applyFont="1" applyFill="1" applyBorder="1" applyAlignment="1">
      <alignment horizontal="right"/>
    </xf>
    <xf numFmtId="3" fontId="15" fillId="3" borderId="5" xfId="1" applyNumberFormat="1" applyFont="1" applyFill="1" applyBorder="1" applyAlignment="1">
      <alignment horizontal="right"/>
    </xf>
    <xf numFmtId="3" fontId="15" fillId="3" borderId="3" xfId="1" applyNumberFormat="1" applyFont="1" applyFill="1" applyBorder="1" applyAlignment="1">
      <alignment horizontal="right"/>
    </xf>
    <xf numFmtId="3" fontId="17" fillId="0" borderId="10" xfId="1" applyNumberFormat="1" applyFont="1" applyBorder="1" applyAlignment="1">
      <alignment horizontal="left"/>
    </xf>
    <xf numFmtId="3" fontId="15" fillId="0" borderId="0" xfId="1" applyNumberFormat="1" applyFont="1" applyFill="1" applyBorder="1" applyAlignment="1">
      <alignment horizontal="center"/>
    </xf>
    <xf numFmtId="3" fontId="16" fillId="0" borderId="0" xfId="1" applyNumberFormat="1" applyFont="1" applyFill="1" applyBorder="1" applyAlignment="1">
      <alignment horizontal="center"/>
    </xf>
    <xf numFmtId="3" fontId="17" fillId="3" borderId="2" xfId="1" applyNumberFormat="1" applyFont="1" applyFill="1" applyBorder="1" applyAlignment="1">
      <alignment horizontal="right"/>
    </xf>
    <xf numFmtId="3" fontId="30" fillId="0" borderId="3" xfId="0" applyNumberFormat="1" applyFont="1" applyBorder="1"/>
    <xf numFmtId="3" fontId="30" fillId="0" borderId="3" xfId="0" applyNumberFormat="1" applyFont="1" applyFill="1" applyBorder="1"/>
    <xf numFmtId="3" fontId="45" fillId="0" borderId="3" xfId="0" applyNumberFormat="1" applyFont="1" applyBorder="1"/>
    <xf numFmtId="3" fontId="45" fillId="0" borderId="0" xfId="0" applyNumberFormat="1" applyFont="1" applyBorder="1"/>
    <xf numFmtId="3" fontId="45" fillId="0" borderId="6" xfId="0" applyNumberFormat="1" applyFont="1" applyBorder="1"/>
    <xf numFmtId="3" fontId="30" fillId="0" borderId="0" xfId="0" applyNumberFormat="1" applyFont="1" applyBorder="1" applyAlignment="1">
      <alignment horizontal="right"/>
    </xf>
    <xf numFmtId="3" fontId="51" fillId="0" borderId="0" xfId="0" applyNumberFormat="1" applyFont="1" applyFill="1" applyBorder="1" applyAlignment="1">
      <alignment horizontal="right"/>
    </xf>
    <xf numFmtId="0" fontId="13" fillId="0" borderId="4" xfId="0" applyFont="1" applyBorder="1" applyAlignment="1">
      <alignment horizontal="center"/>
    </xf>
    <xf numFmtId="0" fontId="13" fillId="0" borderId="3" xfId="0" applyFont="1" applyBorder="1" applyAlignment="1">
      <alignment horizontal="center"/>
    </xf>
    <xf numFmtId="0" fontId="30" fillId="0" borderId="0" xfId="0" applyFont="1" applyFill="1" applyBorder="1"/>
    <xf numFmtId="3" fontId="17" fillId="2" borderId="3" xfId="1" applyNumberFormat="1" applyFont="1" applyFill="1" applyBorder="1" applyAlignment="1">
      <alignment horizontal="right"/>
    </xf>
    <xf numFmtId="0" fontId="17" fillId="0" borderId="0" xfId="0" applyFont="1" applyFill="1" applyBorder="1"/>
    <xf numFmtId="3" fontId="22" fillId="0" borderId="4" xfId="1" applyNumberFormat="1" applyFont="1" applyFill="1" applyBorder="1" applyAlignment="1">
      <alignment horizontal="right"/>
    </xf>
    <xf numFmtId="3" fontId="22" fillId="0" borderId="3" xfId="1" applyNumberFormat="1" applyFont="1" applyFill="1" applyBorder="1" applyAlignment="1">
      <alignment horizontal="right"/>
    </xf>
    <xf numFmtId="3" fontId="17" fillId="0" borderId="4" xfId="1" quotePrefix="1" applyNumberFormat="1" applyFont="1" applyFill="1" applyBorder="1" applyAlignment="1">
      <alignment horizontal="right"/>
    </xf>
    <xf numFmtId="167" fontId="45" fillId="0" borderId="4" xfId="0" applyNumberFormat="1" applyFont="1" applyBorder="1" applyAlignment="1">
      <alignment horizontal="left"/>
    </xf>
    <xf numFmtId="0" fontId="30" fillId="0" borderId="4" xfId="0" applyFont="1" applyBorder="1"/>
    <xf numFmtId="0" fontId="51" fillId="0" borderId="4" xfId="0" applyFont="1" applyFill="1" applyBorder="1"/>
    <xf numFmtId="0" fontId="45" fillId="0" borderId="11" xfId="0" applyFont="1" applyBorder="1"/>
    <xf numFmtId="3" fontId="30" fillId="0" borderId="3" xfId="0" applyNumberFormat="1" applyFont="1" applyBorder="1" applyAlignment="1">
      <alignment horizontal="right"/>
    </xf>
    <xf numFmtId="3" fontId="51" fillId="0" borderId="3" xfId="0" applyNumberFormat="1" applyFont="1" applyFill="1" applyBorder="1" applyAlignment="1">
      <alignment horizontal="right"/>
    </xf>
    <xf numFmtId="3" fontId="45" fillId="0" borderId="3" xfId="0" applyNumberFormat="1" applyFont="1" applyBorder="1" applyAlignment="1">
      <alignment horizontal="right"/>
    </xf>
    <xf numFmtId="3" fontId="45" fillId="0" borderId="6" xfId="0" applyNumberFormat="1" applyFont="1" applyBorder="1" applyAlignment="1">
      <alignment horizontal="right"/>
    </xf>
    <xf numFmtId="0" fontId="36" fillId="0" borderId="4" xfId="0" applyFont="1" applyBorder="1" applyAlignment="1">
      <alignment horizontal="right"/>
    </xf>
    <xf numFmtId="3" fontId="30" fillId="0" borderId="7" xfId="0" applyNumberFormat="1" applyFont="1" applyBorder="1" applyAlignment="1">
      <alignment horizontal="right"/>
    </xf>
    <xf numFmtId="3" fontId="30" fillId="0" borderId="14" xfId="0" applyNumberFormat="1" applyFont="1" applyBorder="1" applyAlignment="1">
      <alignment horizontal="right"/>
    </xf>
    <xf numFmtId="0" fontId="36" fillId="0" borderId="3" xfId="0" applyFont="1" applyBorder="1" applyAlignment="1">
      <alignment horizontal="right"/>
    </xf>
    <xf numFmtId="3" fontId="30" fillId="0" borderId="6" xfId="0" applyNumberFormat="1" applyFont="1" applyBorder="1" applyAlignment="1">
      <alignment horizontal="right"/>
    </xf>
    <xf numFmtId="3" fontId="15" fillId="0" borderId="0" xfId="0" applyNumberFormat="1" applyFont="1"/>
    <xf numFmtId="3" fontId="15" fillId="0" borderId="4" xfId="1" applyNumberFormat="1" applyFont="1" applyBorder="1" applyAlignment="1">
      <alignment horizontal="center"/>
    </xf>
    <xf numFmtId="3" fontId="17" fillId="0" borderId="0" xfId="0" applyNumberFormat="1" applyFont="1" applyBorder="1"/>
    <xf numFmtId="3" fontId="17" fillId="0" borderId="0" xfId="0" applyNumberFormat="1" applyFont="1"/>
    <xf numFmtId="3" fontId="15" fillId="0" borderId="0" xfId="0" applyNumberFormat="1" applyFont="1" applyBorder="1"/>
    <xf numFmtId="3" fontId="17" fillId="0" borderId="0" xfId="0" applyNumberFormat="1" applyFont="1" applyFill="1" applyBorder="1"/>
    <xf numFmtId="0" fontId="17" fillId="8" borderId="1" xfId="0" applyFont="1" applyFill="1" applyBorder="1"/>
    <xf numFmtId="0" fontId="17" fillId="8" borderId="15" xfId="0" applyFont="1" applyFill="1" applyBorder="1"/>
    <xf numFmtId="0" fontId="17" fillId="8" borderId="14" xfId="0" applyFont="1" applyFill="1" applyBorder="1"/>
    <xf numFmtId="0" fontId="15" fillId="8" borderId="1" xfId="0" applyFont="1" applyFill="1" applyBorder="1" applyAlignment="1">
      <alignment horizontal="center"/>
    </xf>
    <xf numFmtId="0" fontId="15" fillId="8" borderId="15" xfId="0" applyFont="1" applyFill="1" applyBorder="1" applyAlignment="1">
      <alignment horizontal="center"/>
    </xf>
    <xf numFmtId="0" fontId="15" fillId="8" borderId="14" xfId="0" applyFont="1" applyFill="1" applyBorder="1" applyAlignment="1">
      <alignment horizontal="center"/>
    </xf>
    <xf numFmtId="0" fontId="15" fillId="8" borderId="11" xfId="0" applyFont="1" applyFill="1" applyBorder="1" applyAlignment="1">
      <alignment horizontal="center"/>
    </xf>
    <xf numFmtId="0" fontId="15" fillId="8" borderId="5" xfId="0" applyFont="1" applyFill="1" applyBorder="1" applyAlignment="1">
      <alignment horizontal="center"/>
    </xf>
    <xf numFmtId="0" fontId="15" fillId="8" borderId="12" xfId="0" applyFont="1" applyFill="1" applyBorder="1" applyAlignment="1">
      <alignment horizontal="center"/>
    </xf>
    <xf numFmtId="0" fontId="15" fillId="8" borderId="3" xfId="0" applyFont="1" applyFill="1" applyBorder="1"/>
    <xf numFmtId="3" fontId="17" fillId="8" borderId="2" xfId="0" applyNumberFormat="1" applyFont="1" applyFill="1" applyBorder="1"/>
    <xf numFmtId="3" fontId="17" fillId="8" borderId="7" xfId="0" applyNumberFormat="1" applyFont="1" applyFill="1" applyBorder="1"/>
    <xf numFmtId="3" fontId="17" fillId="8" borderId="3" xfId="0" applyNumberFormat="1" applyFont="1" applyFill="1" applyBorder="1"/>
    <xf numFmtId="0" fontId="15" fillId="8" borderId="3" xfId="0" applyFont="1" applyFill="1" applyBorder="1" applyAlignment="1">
      <alignment horizontal="center"/>
    </xf>
    <xf numFmtId="0" fontId="15" fillId="8" borderId="2" xfId="0" applyFont="1" applyFill="1" applyBorder="1" applyAlignment="1">
      <alignment horizontal="center"/>
    </xf>
    <xf numFmtId="0" fontId="17" fillId="8" borderId="2" xfId="0" applyFont="1" applyFill="1" applyBorder="1"/>
    <xf numFmtId="0" fontId="17" fillId="8" borderId="3" xfId="0" applyFont="1" applyFill="1" applyBorder="1"/>
    <xf numFmtId="3" fontId="15" fillId="8" borderId="6" xfId="0" applyNumberFormat="1" applyFont="1" applyFill="1" applyBorder="1"/>
    <xf numFmtId="3" fontId="15" fillId="8" borderId="5" xfId="0" applyNumberFormat="1" applyFont="1" applyFill="1" applyBorder="1"/>
    <xf numFmtId="3" fontId="30" fillId="0" borderId="2" xfId="0" quotePrefix="1" applyNumberFormat="1" applyFont="1" applyBorder="1" applyAlignment="1">
      <alignment horizontal="right"/>
    </xf>
    <xf numFmtId="0" fontId="36" fillId="0" borderId="1" xfId="0" applyFont="1" applyBorder="1" applyAlignment="1">
      <alignment horizontal="right"/>
    </xf>
    <xf numFmtId="3" fontId="30" fillId="0" borderId="3" xfId="0" quotePrefix="1" applyNumberFormat="1" applyFont="1" applyBorder="1" applyAlignment="1">
      <alignment horizontal="right"/>
    </xf>
    <xf numFmtId="3" fontId="17" fillId="0" borderId="2" xfId="1" applyNumberFormat="1" applyFont="1" applyFill="1" applyBorder="1" applyAlignment="1">
      <alignment horizontal="right"/>
    </xf>
    <xf numFmtId="3" fontId="17" fillId="2" borderId="2" xfId="1" applyNumberFormat="1" applyFont="1" applyFill="1" applyBorder="1" applyAlignment="1">
      <alignment horizontal="right"/>
    </xf>
    <xf numFmtId="3" fontId="15" fillId="0" borderId="3" xfId="1" applyNumberFormat="1" applyFont="1" applyFill="1" applyBorder="1" applyAlignment="1">
      <alignment horizontal="right"/>
    </xf>
    <xf numFmtId="3" fontId="17" fillId="0" borderId="2" xfId="1" quotePrefix="1" applyNumberFormat="1" applyFont="1" applyFill="1" applyBorder="1" applyAlignment="1">
      <alignment horizontal="right"/>
    </xf>
    <xf numFmtId="3" fontId="17" fillId="0" borderId="6" xfId="1" quotePrefix="1" applyNumberFormat="1" applyFont="1" applyFill="1" applyBorder="1" applyAlignment="1">
      <alignment horizontal="right"/>
    </xf>
    <xf numFmtId="3" fontId="17" fillId="0" borderId="5" xfId="1" quotePrefix="1" applyNumberFormat="1" applyFont="1" applyFill="1" applyBorder="1" applyAlignment="1">
      <alignment horizontal="right"/>
    </xf>
    <xf numFmtId="3" fontId="17" fillId="3" borderId="0" xfId="1" applyNumberFormat="1" applyFont="1" applyFill="1" applyBorder="1" applyAlignment="1">
      <alignment horizontal="right"/>
    </xf>
    <xf numFmtId="165" fontId="55" fillId="7" borderId="3" xfId="844" applyNumberFormat="1" applyFont="1" applyBorder="1" applyAlignment="1">
      <alignment horizontal="right"/>
    </xf>
    <xf numFmtId="3" fontId="45" fillId="0" borderId="2" xfId="0" applyNumberFormat="1" applyFont="1" applyBorder="1"/>
    <xf numFmtId="3" fontId="13" fillId="0" borderId="9" xfId="1" applyNumberFormat="1" applyFont="1" applyBorder="1" applyAlignment="1">
      <alignment horizontal="center"/>
    </xf>
    <xf numFmtId="3" fontId="16" fillId="0" borderId="6" xfId="1" applyNumberFormat="1" applyFont="1" applyBorder="1" applyAlignment="1">
      <alignment horizontal="center"/>
    </xf>
    <xf numFmtId="3" fontId="15" fillId="0" borderId="3" xfId="1" applyNumberFormat="1" applyFont="1" applyBorder="1" applyAlignment="1">
      <alignment horizontal="center"/>
    </xf>
    <xf numFmtId="3" fontId="15" fillId="0" borderId="2" xfId="1" applyNumberFormat="1" applyFont="1" applyBorder="1" applyAlignment="1">
      <alignment horizontal="center"/>
    </xf>
    <xf numFmtId="3" fontId="13" fillId="0" borderId="1" xfId="1" applyNumberFormat="1" applyFont="1" applyBorder="1"/>
    <xf numFmtId="0" fontId="17" fillId="0" borderId="6" xfId="0" applyFont="1" applyBorder="1"/>
    <xf numFmtId="0" fontId="15" fillId="0" borderId="3" xfId="1" applyFont="1" applyBorder="1" applyAlignment="1">
      <alignment horizontal="center"/>
    </xf>
    <xf numFmtId="0" fontId="15" fillId="0" borderId="15" xfId="1" applyFont="1" applyBorder="1" applyAlignment="1">
      <alignment horizontal="center"/>
    </xf>
    <xf numFmtId="0" fontId="17" fillId="0" borderId="5" xfId="1" applyFont="1" applyFill="1" applyBorder="1"/>
    <xf numFmtId="0" fontId="17" fillId="0" borderId="9" xfId="1" applyFont="1" applyFill="1" applyBorder="1"/>
    <xf numFmtId="168" fontId="17" fillId="0" borderId="0" xfId="1" applyNumberFormat="1" applyFont="1" applyFill="1" applyBorder="1" applyAlignment="1">
      <alignment horizontal="center"/>
    </xf>
    <xf numFmtId="168" fontId="17" fillId="3" borderId="3" xfId="1" applyNumberFormat="1" applyFont="1" applyFill="1" applyBorder="1" applyAlignment="1">
      <alignment horizontal="right"/>
    </xf>
    <xf numFmtId="168" fontId="17" fillId="3" borderId="6" xfId="1" applyNumberFormat="1" applyFont="1" applyFill="1" applyBorder="1" applyAlignment="1">
      <alignment horizontal="right"/>
    </xf>
    <xf numFmtId="0" fontId="45" fillId="0" borderId="0" xfId="0" applyFont="1" applyBorder="1"/>
    <xf numFmtId="0" fontId="45" fillId="0" borderId="7" xfId="0" applyFont="1" applyBorder="1"/>
    <xf numFmtId="14" fontId="13" fillId="0" borderId="6" xfId="0" applyNumberFormat="1" applyFont="1" applyFill="1" applyBorder="1" applyAlignment="1">
      <alignment horizontal="left"/>
    </xf>
    <xf numFmtId="14" fontId="13" fillId="0" borderId="3" xfId="0" applyNumberFormat="1" applyFont="1" applyFill="1" applyBorder="1" applyAlignment="1">
      <alignment horizontal="center"/>
    </xf>
    <xf numFmtId="167" fontId="15" fillId="0" borderId="4" xfId="0" applyNumberFormat="1" applyFont="1" applyBorder="1" applyAlignment="1">
      <alignment horizontal="center"/>
    </xf>
    <xf numFmtId="167" fontId="15" fillId="0" borderId="11" xfId="0" applyNumberFormat="1" applyFont="1" applyBorder="1" applyAlignment="1">
      <alignment horizontal="center"/>
    </xf>
    <xf numFmtId="0" fontId="15" fillId="0" borderId="5" xfId="0" applyFont="1" applyBorder="1" applyAlignment="1">
      <alignment horizontal="center"/>
    </xf>
    <xf numFmtId="165" fontId="45" fillId="0" borderId="4" xfId="0" applyNumberFormat="1" applyFont="1" applyBorder="1" applyAlignment="1">
      <alignment horizontal="right"/>
    </xf>
    <xf numFmtId="165" fontId="45" fillId="0" borderId="3" xfId="0" applyNumberFormat="1" applyFont="1" applyBorder="1" applyAlignment="1">
      <alignment horizontal="right"/>
    </xf>
    <xf numFmtId="165" fontId="30" fillId="0" borderId="4" xfId="0" applyNumberFormat="1" applyFont="1" applyBorder="1" applyAlignment="1">
      <alignment horizontal="right"/>
    </xf>
    <xf numFmtId="165" fontId="30" fillId="0" borderId="3" xfId="0" applyNumberFormat="1" applyFont="1" applyBorder="1" applyAlignment="1">
      <alignment horizontal="right"/>
    </xf>
    <xf numFmtId="165" fontId="30" fillId="0" borderId="4" xfId="0" applyNumberFormat="1" applyFont="1" applyFill="1" applyBorder="1" applyAlignment="1">
      <alignment horizontal="right"/>
    </xf>
    <xf numFmtId="0" fontId="30" fillId="0" borderId="11" xfId="0" applyFont="1" applyBorder="1"/>
    <xf numFmtId="3" fontId="30" fillId="0" borderId="11" xfId="0" applyNumberFormat="1" applyFont="1" applyBorder="1"/>
    <xf numFmtId="165" fontId="30" fillId="0" borderId="11" xfId="0" applyNumberFormat="1" applyFont="1" applyBorder="1" applyAlignment="1">
      <alignment horizontal="right"/>
    </xf>
    <xf numFmtId="165" fontId="30" fillId="0" borderId="6" xfId="0" applyNumberFormat="1" applyFont="1" applyBorder="1" applyAlignment="1">
      <alignment horizontal="right"/>
    </xf>
    <xf numFmtId="3" fontId="45" fillId="0" borderId="3" xfId="0" applyNumberFormat="1" applyFont="1" applyFill="1" applyBorder="1" applyAlignment="1">
      <alignment horizontal="right"/>
    </xf>
    <xf numFmtId="0" fontId="42" fillId="9" borderId="0" xfId="0" applyFont="1" applyFill="1"/>
    <xf numFmtId="0" fontId="66" fillId="0" borderId="0" xfId="3" applyFont="1" applyAlignment="1" applyProtection="1"/>
    <xf numFmtId="0" fontId="41" fillId="0" borderId="0" xfId="0" applyFont="1" applyFill="1" applyAlignment="1">
      <alignment horizontal="center"/>
    </xf>
    <xf numFmtId="3" fontId="15" fillId="0" borderId="6" xfId="1" applyNumberFormat="1" applyFont="1" applyFill="1" applyBorder="1" applyAlignment="1">
      <alignment horizontal="right"/>
    </xf>
    <xf numFmtId="3" fontId="67" fillId="0" borderId="4" xfId="1" applyNumberFormat="1" applyFont="1" applyFill="1" applyBorder="1" applyAlignment="1">
      <alignment horizontal="right"/>
    </xf>
    <xf numFmtId="3" fontId="67" fillId="0" borderId="3" xfId="1" applyNumberFormat="1" applyFont="1" applyFill="1" applyBorder="1" applyAlignment="1">
      <alignment horizontal="right"/>
    </xf>
    <xf numFmtId="3" fontId="67" fillId="0" borderId="11" xfId="1" applyNumberFormat="1" applyFont="1" applyFill="1" applyBorder="1" applyAlignment="1">
      <alignment horizontal="right"/>
    </xf>
    <xf numFmtId="3" fontId="67" fillId="0" borderId="6" xfId="1" applyNumberFormat="1" applyFont="1" applyFill="1" applyBorder="1" applyAlignment="1">
      <alignment horizontal="right"/>
    </xf>
    <xf numFmtId="3" fontId="17" fillId="0" borderId="3" xfId="2" applyNumberFormat="1" applyFont="1" applyFill="1" applyBorder="1" applyAlignment="1">
      <alignment horizontal="right"/>
    </xf>
    <xf numFmtId="3" fontId="17" fillId="0" borderId="4" xfId="2" applyNumberFormat="1" applyFont="1" applyFill="1" applyBorder="1" applyAlignment="1">
      <alignment horizontal="right"/>
    </xf>
    <xf numFmtId="3" fontId="17" fillId="0" borderId="6" xfId="2" applyNumberFormat="1" applyFont="1" applyFill="1" applyBorder="1" applyAlignment="1">
      <alignment horizontal="right"/>
    </xf>
    <xf numFmtId="3" fontId="17" fillId="0" borderId="11" xfId="2" applyNumberFormat="1" applyFont="1" applyFill="1" applyBorder="1" applyAlignment="1">
      <alignment horizontal="right"/>
    </xf>
    <xf numFmtId="3" fontId="17" fillId="2" borderId="3" xfId="2" applyNumberFormat="1" applyFont="1" applyFill="1" applyBorder="1" applyAlignment="1">
      <alignment horizontal="right"/>
    </xf>
    <xf numFmtId="3" fontId="17" fillId="2" borderId="4" xfId="2" applyNumberFormat="1" applyFont="1" applyFill="1" applyBorder="1" applyAlignment="1">
      <alignment horizontal="right"/>
    </xf>
    <xf numFmtId="3" fontId="17" fillId="0" borderId="4" xfId="1" applyNumberFormat="1" applyFont="1" applyFill="1" applyBorder="1" applyAlignment="1">
      <alignment horizontal="right"/>
    </xf>
    <xf numFmtId="3" fontId="17" fillId="0" borderId="11" xfId="1" applyNumberFormat="1" applyFont="1" applyFill="1" applyBorder="1" applyAlignment="1">
      <alignment horizontal="right"/>
    </xf>
    <xf numFmtId="3" fontId="17" fillId="2" borderId="0" xfId="1" applyNumberFormat="1" applyFont="1" applyFill="1" applyBorder="1" applyAlignment="1">
      <alignment horizontal="right"/>
    </xf>
    <xf numFmtId="3" fontId="17" fillId="0" borderId="3" xfId="2" applyNumberFormat="1" applyFont="1" applyBorder="1" applyAlignment="1">
      <alignment horizontal="right"/>
    </xf>
    <xf numFmtId="3" fontId="17" fillId="0" borderId="4" xfId="2" applyNumberFormat="1" applyFont="1" applyBorder="1" applyAlignment="1">
      <alignment horizontal="right"/>
    </xf>
    <xf numFmtId="3" fontId="22" fillId="0" borderId="2" xfId="1" applyNumberFormat="1" applyFont="1" applyFill="1" applyBorder="1" applyAlignment="1">
      <alignment horizontal="right"/>
    </xf>
    <xf numFmtId="3" fontId="22" fillId="0" borderId="0" xfId="1" applyNumberFormat="1" applyFont="1" applyFill="1" applyBorder="1" applyAlignment="1">
      <alignment horizontal="right"/>
    </xf>
    <xf numFmtId="3" fontId="18" fillId="2" borderId="2" xfId="1" applyNumberFormat="1" applyFont="1" applyFill="1" applyBorder="1" applyAlignment="1">
      <alignment horizontal="right"/>
    </xf>
    <xf numFmtId="3" fontId="18" fillId="2" borderId="0" xfId="1" applyNumberFormat="1" applyFont="1" applyFill="1" applyBorder="1" applyAlignment="1">
      <alignment horizontal="right"/>
    </xf>
    <xf numFmtId="3" fontId="17" fillId="0" borderId="3" xfId="2" applyNumberFormat="1" applyFont="1" applyBorder="1" applyAlignment="1">
      <alignment horizontal="left"/>
    </xf>
    <xf numFmtId="0" fontId="13" fillId="0" borderId="0" xfId="1" applyFont="1" applyBorder="1" applyAlignment="1">
      <alignment horizontal="center"/>
    </xf>
    <xf numFmtId="0" fontId="13" fillId="0" borderId="0" xfId="1" applyFont="1" applyFill="1" applyBorder="1" applyAlignment="1">
      <alignment horizontal="center"/>
    </xf>
    <xf numFmtId="3" fontId="13" fillId="0" borderId="0"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2" xfId="1" applyNumberFormat="1" applyFont="1" applyBorder="1" applyAlignment="1">
      <alignment horizontal="center"/>
    </xf>
    <xf numFmtId="3" fontId="15" fillId="0" borderId="9" xfId="1" applyNumberFormat="1" applyFont="1" applyBorder="1" applyAlignment="1">
      <alignment horizontal="center"/>
    </xf>
    <xf numFmtId="3" fontId="15" fillId="0" borderId="1" xfId="1" applyNumberFormat="1" applyFont="1" applyBorder="1" applyAlignment="1">
      <alignment horizontal="center"/>
    </xf>
    <xf numFmtId="3" fontId="15" fillId="0" borderId="7" xfId="2" applyNumberFormat="1" applyFont="1" applyFill="1" applyBorder="1" applyAlignment="1">
      <alignment horizontal="right"/>
    </xf>
    <xf numFmtId="3" fontId="15" fillId="0" borderId="1" xfId="2" applyNumberFormat="1" applyFont="1" applyFill="1" applyBorder="1" applyAlignment="1">
      <alignment horizontal="right"/>
    </xf>
    <xf numFmtId="3" fontId="15" fillId="0" borderId="2" xfId="1" applyNumberFormat="1" applyFont="1" applyFill="1" applyBorder="1" applyAlignment="1">
      <alignment horizontal="right"/>
    </xf>
    <xf numFmtId="3" fontId="15" fillId="0" borderId="4" xfId="1" applyNumberFormat="1" applyFont="1" applyFill="1" applyBorder="1" applyAlignment="1">
      <alignment horizontal="right"/>
    </xf>
    <xf numFmtId="3" fontId="15" fillId="0" borderId="3" xfId="2" applyNumberFormat="1" applyFont="1" applyFill="1" applyBorder="1" applyAlignment="1">
      <alignment horizontal="right"/>
    </xf>
    <xf numFmtId="3" fontId="15" fillId="0" borderId="4" xfId="2" applyNumberFormat="1" applyFont="1" applyFill="1" applyBorder="1" applyAlignment="1">
      <alignment horizontal="right"/>
    </xf>
    <xf numFmtId="3" fontId="15" fillId="0" borderId="6" xfId="2" applyNumberFormat="1" applyFont="1" applyFill="1" applyBorder="1" applyAlignment="1">
      <alignment horizontal="right"/>
    </xf>
    <xf numFmtId="3" fontId="15" fillId="0" borderId="11" xfId="2" applyNumberFormat="1" applyFont="1" applyFill="1" applyBorder="1" applyAlignment="1">
      <alignment horizontal="right"/>
    </xf>
    <xf numFmtId="3" fontId="15" fillId="0" borderId="5" xfId="1" applyNumberFormat="1" applyFont="1" applyFill="1" applyBorder="1" applyAlignment="1">
      <alignment horizontal="right"/>
    </xf>
    <xf numFmtId="3" fontId="15" fillId="0" borderId="11" xfId="1" applyNumberFormat="1" applyFont="1" applyFill="1" applyBorder="1" applyAlignment="1">
      <alignment horizontal="right"/>
    </xf>
    <xf numFmtId="3" fontId="15" fillId="0" borderId="7" xfId="1" applyNumberFormat="1" applyFont="1" applyFill="1" applyBorder="1" applyAlignment="1">
      <alignment horizontal="right"/>
    </xf>
    <xf numFmtId="3" fontId="15" fillId="0" borderId="1" xfId="1" applyNumberFormat="1" applyFont="1" applyFill="1" applyBorder="1" applyAlignment="1">
      <alignment horizontal="right"/>
    </xf>
    <xf numFmtId="3" fontId="15" fillId="0" borderId="15" xfId="1" applyNumberFormat="1" applyFont="1" applyFill="1" applyBorder="1" applyAlignment="1">
      <alignment horizontal="right"/>
    </xf>
    <xf numFmtId="3" fontId="15" fillId="2" borderId="2" xfId="1" applyNumberFormat="1" applyFont="1" applyFill="1" applyBorder="1" applyAlignment="1">
      <alignment horizontal="right"/>
    </xf>
    <xf numFmtId="3" fontId="15" fillId="2" borderId="0" xfId="1" applyNumberFormat="1" applyFont="1" applyFill="1" applyBorder="1" applyAlignment="1">
      <alignment horizontal="right"/>
    </xf>
    <xf numFmtId="3" fontId="15" fillId="2" borderId="4" xfId="1" applyNumberFormat="1" applyFont="1" applyFill="1" applyBorder="1" applyAlignment="1">
      <alignment horizontal="right"/>
    </xf>
    <xf numFmtId="3" fontId="15" fillId="2" borderId="5" xfId="1" applyNumberFormat="1" applyFont="1" applyFill="1" applyBorder="1" applyAlignment="1">
      <alignment horizontal="right"/>
    </xf>
    <xf numFmtId="3" fontId="15" fillId="2" borderId="11" xfId="1" applyNumberFormat="1" applyFont="1" applyFill="1" applyBorder="1" applyAlignment="1">
      <alignment horizontal="right"/>
    </xf>
    <xf numFmtId="3" fontId="15" fillId="2" borderId="3" xfId="1" applyNumberFormat="1" applyFont="1" applyFill="1" applyBorder="1" applyAlignment="1">
      <alignment horizontal="right"/>
    </xf>
    <xf numFmtId="3" fontId="15" fillId="2" borderId="6" xfId="1" applyNumberFormat="1" applyFont="1" applyFill="1" applyBorder="1" applyAlignment="1">
      <alignment horizontal="right"/>
    </xf>
    <xf numFmtId="14" fontId="16" fillId="0" borderId="10" xfId="1" applyNumberFormat="1" applyFont="1" applyBorder="1" applyAlignment="1"/>
    <xf numFmtId="0" fontId="0" fillId="0" borderId="8" xfId="0" applyBorder="1" applyAlignment="1"/>
    <xf numFmtId="3" fontId="15" fillId="0" borderId="2" xfId="1" quotePrefix="1" applyNumberFormat="1" applyFont="1" applyFill="1" applyBorder="1" applyAlignment="1">
      <alignment horizontal="right"/>
    </xf>
    <xf numFmtId="0" fontId="56" fillId="0" borderId="0" xfId="1" applyFont="1" applyFill="1"/>
    <xf numFmtId="0" fontId="14" fillId="0" borderId="0" xfId="1" applyFont="1" applyFill="1" applyAlignment="1">
      <alignment horizontal="right" vertical="top"/>
    </xf>
    <xf numFmtId="0" fontId="14" fillId="0" borderId="0" xfId="1" applyFont="1" applyAlignment="1">
      <alignment vertical="top" wrapText="1"/>
    </xf>
    <xf numFmtId="0" fontId="14" fillId="0" borderId="0" xfId="1" applyFont="1" applyFill="1" applyAlignment="1">
      <alignment horizontal="right"/>
    </xf>
    <xf numFmtId="0" fontId="14" fillId="0" borderId="0" xfId="1" applyFont="1" applyFill="1" applyAlignment="1">
      <alignment vertical="top" wrapText="1"/>
    </xf>
    <xf numFmtId="0" fontId="23" fillId="0" borderId="0" xfId="1" applyFont="1" applyFill="1"/>
    <xf numFmtId="0" fontId="14" fillId="0" borderId="0" xfId="1" applyFont="1" applyFill="1" applyAlignment="1">
      <alignment wrapText="1"/>
    </xf>
    <xf numFmtId="0" fontId="13" fillId="0" borderId="0" xfId="1" applyFont="1" applyFill="1" applyAlignment="1">
      <alignment horizontal="left"/>
    </xf>
    <xf numFmtId="3" fontId="30" fillId="4" borderId="3" xfId="0" applyNumberFormat="1" applyFont="1" applyFill="1" applyBorder="1" applyAlignment="1" applyProtection="1">
      <alignment horizontal="right"/>
      <protection locked="0"/>
    </xf>
    <xf numFmtId="0" fontId="68" fillId="0" borderId="0" xfId="0" applyFont="1" applyAlignment="1">
      <alignment horizontal="left" vertical="center" readingOrder="1"/>
    </xf>
    <xf numFmtId="0" fontId="17" fillId="0" borderId="0" xfId="1" applyFont="1" applyFill="1" applyBorder="1" applyAlignment="1">
      <alignment horizontal="left"/>
    </xf>
    <xf numFmtId="0" fontId="71" fillId="0" borderId="0" xfId="1" applyFont="1" applyFill="1" applyAlignment="1">
      <alignment horizontal="left"/>
    </xf>
    <xf numFmtId="0" fontId="18" fillId="0" borderId="0" xfId="1" applyFont="1" applyFill="1"/>
    <xf numFmtId="0" fontId="42" fillId="9" borderId="0" xfId="3" applyFont="1" applyFill="1" applyAlignment="1" applyProtection="1"/>
    <xf numFmtId="0" fontId="64" fillId="0" borderId="0" xfId="0" applyFont="1" applyFill="1"/>
    <xf numFmtId="0" fontId="65" fillId="0" borderId="0" xfId="0" applyFont="1" applyFill="1"/>
    <xf numFmtId="0" fontId="42" fillId="0" borderId="0" xfId="0" applyFont="1" applyFill="1"/>
    <xf numFmtId="0" fontId="40" fillId="0" borderId="0" xfId="0" applyFont="1" applyFill="1"/>
    <xf numFmtId="0" fontId="38" fillId="0" borderId="0" xfId="0" applyFont="1" applyFill="1"/>
    <xf numFmtId="0" fontId="42" fillId="0" borderId="0" xfId="3" applyFont="1" applyFill="1" applyAlignment="1" applyProtection="1"/>
    <xf numFmtId="3" fontId="15" fillId="3" borderId="7" xfId="1" applyNumberFormat="1" applyFont="1" applyFill="1" applyBorder="1" applyAlignment="1">
      <alignment horizontal="right"/>
    </xf>
    <xf numFmtId="0" fontId="73" fillId="0" borderId="0" xfId="1" applyFont="1" applyBorder="1" applyAlignment="1">
      <alignment horizontal="left"/>
    </xf>
    <xf numFmtId="3" fontId="67" fillId="0" borderId="2" xfId="1" applyNumberFormat="1" applyFont="1" applyFill="1" applyBorder="1" applyAlignment="1">
      <alignment horizontal="right"/>
    </xf>
    <xf numFmtId="3" fontId="59" fillId="0" borderId="2" xfId="1" applyNumberFormat="1" applyFont="1" applyFill="1" applyBorder="1" applyAlignment="1">
      <alignment horizontal="right"/>
    </xf>
    <xf numFmtId="0" fontId="72" fillId="0" borderId="0" xfId="0" applyFont="1" applyFill="1" applyAlignment="1">
      <alignment horizontal="left" vertical="center" readingOrder="1"/>
    </xf>
    <xf numFmtId="3" fontId="13" fillId="0" borderId="12"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5" fillId="0" borderId="9" xfId="1" applyNumberFormat="1" applyFont="1" applyBorder="1" applyAlignment="1">
      <alignment horizontal="center"/>
    </xf>
    <xf numFmtId="165" fontId="30" fillId="0" borderId="3" xfId="0" applyNumberFormat="1" applyFont="1" applyBorder="1"/>
    <xf numFmtId="165" fontId="45" fillId="0" borderId="3" xfId="0" applyNumberFormat="1" applyFont="1" applyBorder="1"/>
    <xf numFmtId="165" fontId="30" fillId="0" borderId="3" xfId="0" applyNumberFormat="1" applyFont="1" applyFill="1" applyBorder="1"/>
    <xf numFmtId="165" fontId="45" fillId="0" borderId="6" xfId="0" applyNumberFormat="1" applyFont="1" applyBorder="1"/>
    <xf numFmtId="165" fontId="15" fillId="0" borderId="6" xfId="1" applyNumberFormat="1" applyFont="1" applyBorder="1" applyAlignment="1">
      <alignment horizontal="center"/>
    </xf>
    <xf numFmtId="165" fontId="17" fillId="3" borderId="0" xfId="1" applyNumberFormat="1" applyFont="1" applyFill="1" applyBorder="1" applyAlignment="1">
      <alignment horizontal="right"/>
    </xf>
    <xf numFmtId="165" fontId="17" fillId="3" borderId="5" xfId="1" applyNumberFormat="1" applyFont="1" applyFill="1" applyBorder="1" applyAlignment="1">
      <alignment horizontal="right"/>
    </xf>
    <xf numFmtId="0" fontId="17" fillId="0" borderId="4" xfId="1" applyFont="1" applyBorder="1"/>
    <xf numFmtId="0" fontId="15" fillId="0" borderId="0" xfId="1" applyFont="1" applyFill="1"/>
    <xf numFmtId="49" fontId="15" fillId="0" borderId="0" xfId="1" applyNumberFormat="1" applyFont="1" applyFill="1" applyBorder="1" applyAlignment="1">
      <alignment horizontal="right"/>
    </xf>
    <xf numFmtId="49" fontId="15" fillId="0" borderId="0" xfId="1" applyNumberFormat="1" applyFont="1" applyFill="1" applyBorder="1" applyAlignment="1">
      <alignment horizontal="center"/>
    </xf>
    <xf numFmtId="3" fontId="15" fillId="0" borderId="0" xfId="1" quotePrefix="1" applyNumberFormat="1" applyFont="1" applyFill="1" applyBorder="1" applyAlignment="1">
      <alignment horizontal="center"/>
    </xf>
    <xf numFmtId="168" fontId="15" fillId="3" borderId="7" xfId="1" applyNumberFormat="1" applyFont="1" applyFill="1" applyBorder="1" applyAlignment="1">
      <alignment horizontal="right"/>
    </xf>
    <xf numFmtId="168" fontId="15" fillId="3" borderId="3" xfId="1" applyNumberFormat="1" applyFont="1" applyFill="1" applyBorder="1" applyAlignment="1">
      <alignment horizontal="right"/>
    </xf>
    <xf numFmtId="168" fontId="15" fillId="3" borderId="6" xfId="1" applyNumberFormat="1" applyFont="1" applyFill="1" applyBorder="1" applyAlignment="1">
      <alignment horizontal="right"/>
    </xf>
    <xf numFmtId="3" fontId="15" fillId="3" borderId="0" xfId="1" applyNumberFormat="1" applyFont="1" applyFill="1" applyBorder="1" applyAlignment="1">
      <alignment horizontal="right"/>
    </xf>
    <xf numFmtId="3" fontId="15" fillId="3" borderId="1" xfId="1" applyNumberFormat="1" applyFont="1" applyFill="1" applyBorder="1" applyAlignment="1">
      <alignment horizontal="right"/>
    </xf>
    <xf numFmtId="3" fontId="15" fillId="3" borderId="4" xfId="1" applyNumberFormat="1" applyFont="1" applyFill="1" applyBorder="1" applyAlignment="1">
      <alignment horizontal="right"/>
    </xf>
    <xf numFmtId="3" fontId="15" fillId="3" borderId="11" xfId="1" applyNumberFormat="1" applyFont="1" applyFill="1" applyBorder="1" applyAlignment="1">
      <alignment horizontal="right"/>
    </xf>
    <xf numFmtId="165" fontId="15" fillId="3" borderId="0" xfId="1" applyNumberFormat="1" applyFont="1" applyFill="1" applyBorder="1" applyAlignment="1">
      <alignment horizontal="right"/>
    </xf>
    <xf numFmtId="0" fontId="13" fillId="0" borderId="0" xfId="1" applyFont="1" applyBorder="1" applyAlignment="1">
      <alignment horizontal="center"/>
    </xf>
    <xf numFmtId="3" fontId="60" fillId="4" borderId="3" xfId="0" applyNumberFormat="1" applyFont="1" applyFill="1" applyBorder="1" applyAlignment="1" applyProtection="1">
      <alignment horizontal="right"/>
    </xf>
    <xf numFmtId="3" fontId="60" fillId="4" borderId="3" xfId="0" applyNumberFormat="1" applyFont="1" applyFill="1" applyBorder="1" applyAlignment="1" applyProtection="1">
      <alignment horizontal="right"/>
      <protection locked="0"/>
    </xf>
    <xf numFmtId="3" fontId="30" fillId="4" borderId="4" xfId="0" applyNumberFormat="1" applyFont="1" applyFill="1" applyBorder="1" applyAlignment="1" applyProtection="1">
      <alignment horizontal="right"/>
      <protection locked="0"/>
    </xf>
    <xf numFmtId="3" fontId="30" fillId="4" borderId="4" xfId="847" applyNumberFormat="1" applyFont="1" applyFill="1" applyBorder="1" applyAlignment="1" applyProtection="1">
      <alignment horizontal="right"/>
      <protection locked="0"/>
    </xf>
    <xf numFmtId="3" fontId="30" fillId="4" borderId="4" xfId="0" applyNumberFormat="1" applyFont="1" applyFill="1" applyBorder="1" applyAlignment="1" applyProtection="1">
      <alignment horizontal="right"/>
    </xf>
    <xf numFmtId="3" fontId="45" fillId="4" borderId="3" xfId="0" applyNumberFormat="1" applyFont="1" applyFill="1" applyBorder="1" applyAlignment="1" applyProtection="1">
      <alignment horizontal="right"/>
    </xf>
    <xf numFmtId="3" fontId="45" fillId="4" borderId="3" xfId="0" applyNumberFormat="1" applyFont="1" applyFill="1" applyBorder="1" applyAlignment="1" applyProtection="1">
      <alignment horizontal="right"/>
      <protection locked="0"/>
    </xf>
    <xf numFmtId="3" fontId="45" fillId="0" borderId="3" xfId="0" applyNumberFormat="1" applyFont="1" applyBorder="1" applyAlignment="1" applyProtection="1">
      <alignment horizontal="right"/>
    </xf>
    <xf numFmtId="3" fontId="45" fillId="0" borderId="3" xfId="0" applyNumberFormat="1" applyFont="1" applyBorder="1" applyAlignment="1" applyProtection="1">
      <alignment horizontal="right"/>
      <protection locked="0"/>
    </xf>
    <xf numFmtId="3" fontId="45" fillId="0" borderId="3" xfId="0" applyNumberFormat="1" applyFont="1" applyFill="1" applyBorder="1" applyAlignment="1" applyProtection="1">
      <alignment horizontal="right"/>
    </xf>
    <xf numFmtId="3" fontId="45" fillId="0" borderId="3" xfId="0" applyNumberFormat="1" applyFont="1" applyFill="1" applyBorder="1" applyAlignment="1" applyProtection="1">
      <alignment horizontal="right"/>
      <protection locked="0"/>
    </xf>
    <xf numFmtId="3" fontId="30" fillId="0" borderId="4" xfId="7" applyNumberFormat="1" applyFont="1" applyFill="1" applyBorder="1" applyAlignment="1" applyProtection="1">
      <alignment horizontal="right"/>
    </xf>
    <xf numFmtId="3" fontId="30" fillId="0" borderId="4" xfId="0" applyNumberFormat="1" applyFont="1" applyFill="1" applyBorder="1" applyAlignment="1" applyProtection="1">
      <alignment horizontal="right"/>
      <protection locked="0"/>
    </xf>
    <xf numFmtId="3" fontId="30" fillId="0" borderId="4" xfId="847" applyNumberFormat="1" applyFont="1" applyFill="1" applyBorder="1" applyAlignment="1" applyProtection="1">
      <alignment horizontal="right"/>
      <protection locked="0"/>
    </xf>
    <xf numFmtId="3" fontId="30" fillId="0" borderId="3" xfId="0" applyNumberFormat="1" applyFont="1" applyFill="1" applyBorder="1" applyAlignment="1" applyProtection="1">
      <alignment horizontal="right"/>
      <protection locked="0"/>
    </xf>
    <xf numFmtId="3" fontId="30" fillId="0" borderId="4" xfId="0" applyNumberFormat="1" applyFont="1" applyFill="1" applyBorder="1" applyAlignment="1" applyProtection="1">
      <alignment horizontal="right"/>
    </xf>
    <xf numFmtId="3" fontId="30" fillId="0" borderId="3" xfId="0" applyNumberFormat="1" applyFont="1" applyFill="1" applyBorder="1" applyAlignment="1" applyProtection="1">
      <alignment horizontal="right"/>
    </xf>
    <xf numFmtId="3" fontId="30" fillId="0" borderId="3" xfId="845" applyNumberFormat="1" applyFont="1" applyFill="1" applyBorder="1" applyAlignment="1" applyProtection="1">
      <alignment horizontal="right"/>
      <protection locked="0"/>
    </xf>
    <xf numFmtId="3" fontId="30" fillId="0" borderId="3" xfId="0" applyNumberFormat="1" applyFont="1" applyBorder="1" applyAlignment="1" applyProtection="1">
      <alignment horizontal="right"/>
      <protection locked="0"/>
    </xf>
    <xf numFmtId="3" fontId="30" fillId="4" borderId="3" xfId="845" applyNumberFormat="1" applyFont="1" applyFill="1" applyBorder="1" applyAlignment="1" applyProtection="1">
      <alignment horizontal="right"/>
      <protection locked="0"/>
    </xf>
    <xf numFmtId="3" fontId="30" fillId="0" borderId="3" xfId="0" applyNumberFormat="1" applyFont="1" applyBorder="1" applyAlignment="1" applyProtection="1">
      <alignment horizontal="right"/>
    </xf>
    <xf numFmtId="3" fontId="45" fillId="4" borderId="4" xfId="0" applyNumberFormat="1" applyFont="1" applyFill="1" applyBorder="1" applyAlignment="1" applyProtection="1">
      <alignment horizontal="right"/>
      <protection locked="0"/>
    </xf>
    <xf numFmtId="3" fontId="45" fillId="4" borderId="4" xfId="0" applyNumberFormat="1" applyFont="1" applyFill="1" applyBorder="1" applyAlignment="1" applyProtection="1">
      <alignment horizontal="right"/>
    </xf>
    <xf numFmtId="3" fontId="45" fillId="4" borderId="3" xfId="845" applyNumberFormat="1" applyFont="1" applyFill="1" applyBorder="1" applyAlignment="1" applyProtection="1">
      <alignment horizontal="right"/>
      <protection locked="0"/>
    </xf>
    <xf numFmtId="3" fontId="45" fillId="0" borderId="4" xfId="0" applyNumberFormat="1" applyFont="1" applyFill="1" applyBorder="1" applyAlignment="1" applyProtection="1">
      <alignment horizontal="right"/>
    </xf>
    <xf numFmtId="3" fontId="30" fillId="4" borderId="3" xfId="0" applyNumberFormat="1" applyFont="1" applyFill="1" applyBorder="1" applyAlignment="1" applyProtection="1">
      <alignment horizontal="right"/>
    </xf>
    <xf numFmtId="3" fontId="45" fillId="0" borderId="6" xfId="0" applyNumberFormat="1" applyFont="1" applyBorder="1" applyAlignment="1" applyProtection="1">
      <alignment horizontal="right"/>
      <protection locked="0"/>
    </xf>
    <xf numFmtId="3" fontId="45" fillId="4" borderId="6" xfId="0" applyNumberFormat="1" applyFont="1" applyFill="1" applyBorder="1" applyAlignment="1" applyProtection="1">
      <alignment horizontal="right"/>
      <protection locked="0"/>
    </xf>
    <xf numFmtId="3" fontId="45" fillId="0" borderId="6" xfId="0" applyNumberFormat="1" applyFont="1" applyBorder="1" applyAlignment="1" applyProtection="1">
      <alignment horizontal="right"/>
    </xf>
    <xf numFmtId="3" fontId="45" fillId="4" borderId="11" xfId="0" applyNumberFormat="1" applyFont="1" applyFill="1" applyBorder="1" applyAlignment="1" applyProtection="1">
      <alignment horizontal="right"/>
    </xf>
    <xf numFmtId="3" fontId="45" fillId="0" borderId="11" xfId="0" applyNumberFormat="1" applyFont="1" applyFill="1" applyBorder="1" applyAlignment="1" applyProtection="1">
      <alignment horizontal="right"/>
    </xf>
    <xf numFmtId="3" fontId="45" fillId="4" borderId="6" xfId="845" applyNumberFormat="1" applyFont="1" applyFill="1" applyBorder="1" applyAlignment="1" applyProtection="1">
      <alignment horizontal="right"/>
      <protection locked="0"/>
    </xf>
    <xf numFmtId="3" fontId="50" fillId="4" borderId="11" xfId="0" applyNumberFormat="1" applyFont="1" applyFill="1" applyBorder="1" applyProtection="1">
      <protection locked="0"/>
    </xf>
    <xf numFmtId="169" fontId="15" fillId="0" borderId="6" xfId="0" applyNumberFormat="1" applyFont="1" applyFill="1" applyBorder="1" applyAlignment="1" applyProtection="1">
      <alignment horizontal="center"/>
      <protection locked="0"/>
    </xf>
    <xf numFmtId="3" fontId="60" fillId="4" borderId="4" xfId="0" applyNumberFormat="1" applyFont="1" applyFill="1" applyBorder="1" applyProtection="1">
      <protection locked="0"/>
    </xf>
    <xf numFmtId="0" fontId="45" fillId="0" borderId="4" xfId="0" applyFont="1" applyFill="1" applyBorder="1" applyProtection="1">
      <protection locked="0"/>
    </xf>
    <xf numFmtId="3" fontId="45" fillId="4" borderId="4" xfId="0" applyNumberFormat="1" applyFont="1" applyFill="1" applyBorder="1" applyProtection="1">
      <protection locked="0"/>
    </xf>
    <xf numFmtId="0" fontId="30" fillId="0" borderId="4" xfId="0" applyFont="1" applyFill="1" applyBorder="1" applyProtection="1">
      <protection locked="0"/>
    </xf>
    <xf numFmtId="0" fontId="30" fillId="0" borderId="3" xfId="0" applyFont="1" applyFill="1" applyBorder="1" applyProtection="1">
      <protection locked="0"/>
    </xf>
    <xf numFmtId="0" fontId="19" fillId="0" borderId="3" xfId="0" applyFont="1" applyFill="1" applyBorder="1" applyProtection="1">
      <protection locked="0"/>
    </xf>
    <xf numFmtId="0" fontId="45" fillId="0" borderId="11" xfId="0" applyFont="1" applyFill="1" applyBorder="1" applyProtection="1">
      <protection locked="0"/>
    </xf>
    <xf numFmtId="0" fontId="30" fillId="0" borderId="0" xfId="0" applyFont="1" applyProtection="1">
      <protection locked="0"/>
    </xf>
    <xf numFmtId="0" fontId="0" fillId="0" borderId="0" xfId="0" applyProtection="1">
      <protection locked="0"/>
    </xf>
    <xf numFmtId="0" fontId="19" fillId="0" borderId="0" xfId="0" applyFont="1" applyProtection="1">
      <protection locked="0"/>
    </xf>
    <xf numFmtId="3" fontId="30" fillId="0" borderId="0" xfId="0" applyNumberFormat="1" applyFont="1" applyBorder="1" applyProtection="1">
      <protection locked="0"/>
    </xf>
    <xf numFmtId="0" fontId="61" fillId="0" borderId="0" xfId="0" applyFont="1" applyProtection="1">
      <protection locked="0"/>
    </xf>
    <xf numFmtId="3" fontId="62" fillId="0" borderId="0" xfId="0" applyNumberFormat="1" applyFont="1" applyBorder="1" applyProtection="1">
      <protection locked="0"/>
    </xf>
    <xf numFmtId="0" fontId="41" fillId="0" borderId="0" xfId="0" applyFont="1" applyProtection="1">
      <protection locked="0"/>
    </xf>
    <xf numFmtId="0" fontId="17" fillId="0" borderId="0" xfId="3" applyFont="1" applyFill="1" applyAlignment="1" applyProtection="1">
      <protection locked="0"/>
    </xf>
    <xf numFmtId="0" fontId="57" fillId="0" borderId="0" xfId="0" applyFont="1" applyProtection="1">
      <protection locked="0"/>
    </xf>
    <xf numFmtId="165" fontId="0" fillId="0" borderId="0" xfId="0" applyNumberFormat="1" applyProtection="1">
      <protection locked="0"/>
    </xf>
    <xf numFmtId="3" fontId="58" fillId="4" borderId="12" xfId="0" applyNumberFormat="1" applyFont="1" applyFill="1" applyBorder="1" applyProtection="1">
      <protection locked="0"/>
    </xf>
    <xf numFmtId="3" fontId="59" fillId="4" borderId="0" xfId="0" applyNumberFormat="1" applyFont="1" applyFill="1" applyBorder="1" applyProtection="1">
      <protection locked="0"/>
    </xf>
    <xf numFmtId="165" fontId="0" fillId="0" borderId="0" xfId="0" applyNumberFormat="1" applyBorder="1" applyProtection="1">
      <protection locked="0"/>
    </xf>
    <xf numFmtId="14" fontId="13" fillId="0" borderId="7" xfId="0" applyNumberFormat="1" applyFont="1" applyFill="1" applyBorder="1" applyAlignment="1" applyProtection="1">
      <alignment horizontal="left"/>
      <protection locked="0"/>
    </xf>
    <xf numFmtId="3" fontId="13" fillId="0" borderId="8" xfId="0" quotePrefix="1" applyNumberFormat="1" applyFont="1" applyFill="1" applyBorder="1" applyProtection="1">
      <protection locked="0"/>
    </xf>
    <xf numFmtId="3" fontId="13" fillId="0" borderId="9" xfId="0" quotePrefix="1" applyNumberFormat="1" applyFont="1" applyFill="1" applyBorder="1" applyProtection="1">
      <protection locked="0"/>
    </xf>
    <xf numFmtId="3" fontId="13" fillId="0" borderId="10" xfId="0" quotePrefix="1" applyNumberFormat="1" applyFont="1" applyFill="1" applyBorder="1" applyProtection="1">
      <protection locked="0"/>
    </xf>
    <xf numFmtId="0" fontId="17" fillId="0" borderId="8" xfId="0" applyFont="1" applyBorder="1" applyProtection="1">
      <protection locked="0"/>
    </xf>
    <xf numFmtId="0" fontId="17" fillId="0" borderId="10" xfId="0" applyFont="1" applyBorder="1" applyProtection="1">
      <protection locked="0"/>
    </xf>
    <xf numFmtId="0" fontId="17" fillId="0" borderId="9" xfId="0" applyFont="1" applyBorder="1" applyProtection="1">
      <protection locked="0"/>
    </xf>
    <xf numFmtId="165" fontId="17" fillId="4" borderId="0" xfId="0" applyNumberFormat="1" applyFont="1" applyFill="1" applyBorder="1" applyProtection="1">
      <protection locked="0"/>
    </xf>
    <xf numFmtId="0" fontId="17" fillId="4" borderId="0" xfId="0" applyFont="1" applyFill="1" applyBorder="1" applyProtection="1">
      <protection locked="0"/>
    </xf>
    <xf numFmtId="3" fontId="45" fillId="0" borderId="1" xfId="0" applyNumberFormat="1" applyFont="1" applyFill="1" applyBorder="1" applyProtection="1">
      <protection locked="0"/>
    </xf>
    <xf numFmtId="0" fontId="0" fillId="0" borderId="0" xfId="0" applyBorder="1" applyProtection="1">
      <protection locked="0"/>
    </xf>
    <xf numFmtId="0" fontId="45" fillId="4" borderId="0" xfId="0" applyNumberFormat="1" applyFont="1" applyFill="1" applyBorder="1" applyAlignment="1" applyProtection="1">
      <alignment horizontal="center"/>
      <protection locked="0"/>
    </xf>
    <xf numFmtId="3" fontId="45" fillId="0" borderId="4" xfId="0" applyNumberFormat="1" applyFont="1" applyFill="1" applyBorder="1" applyProtection="1">
      <protection locked="0"/>
    </xf>
    <xf numFmtId="0" fontId="15" fillId="0" borderId="7" xfId="0" applyNumberFormat="1" applyFont="1" applyFill="1" applyBorder="1" applyAlignment="1" applyProtection="1">
      <alignment horizontal="center"/>
      <protection locked="0"/>
    </xf>
    <xf numFmtId="169" fontId="13" fillId="4" borderId="0" xfId="0" applyNumberFormat="1" applyFont="1" applyFill="1" applyBorder="1" applyAlignment="1" applyProtection="1">
      <alignment horizontal="center"/>
      <protection locked="0"/>
    </xf>
    <xf numFmtId="0" fontId="13" fillId="4" borderId="0" xfId="0" applyNumberFormat="1" applyFont="1" applyFill="1" applyBorder="1" applyAlignment="1" applyProtection="1">
      <alignment horizontal="center"/>
      <protection locked="0"/>
    </xf>
    <xf numFmtId="0" fontId="19" fillId="0" borderId="0" xfId="0" applyFont="1" applyBorder="1" applyProtection="1">
      <protection locked="0"/>
    </xf>
    <xf numFmtId="0" fontId="19" fillId="0" borderId="0" xfId="0" applyFont="1" applyFill="1" applyBorder="1" applyProtection="1">
      <protection locked="0"/>
    </xf>
    <xf numFmtId="0" fontId="19" fillId="0" borderId="0" xfId="0" applyFont="1" applyFill="1" applyProtection="1">
      <protection locked="0"/>
    </xf>
    <xf numFmtId="3" fontId="19" fillId="0" borderId="0" xfId="0" applyNumberFormat="1" applyFont="1" applyFill="1" applyProtection="1">
      <protection locked="0"/>
    </xf>
    <xf numFmtId="3" fontId="19" fillId="0" borderId="0" xfId="0" applyNumberFormat="1" applyFont="1" applyProtection="1">
      <protection locked="0"/>
    </xf>
    <xf numFmtId="3" fontId="19" fillId="0" borderId="0" xfId="0" applyNumberFormat="1" applyFont="1" applyBorder="1" applyProtection="1">
      <protection locked="0"/>
    </xf>
    <xf numFmtId="0" fontId="49" fillId="0" borderId="0" xfId="0" applyFont="1" applyBorder="1" applyProtection="1">
      <protection locked="0"/>
    </xf>
    <xf numFmtId="3" fontId="49" fillId="0" borderId="0" xfId="0" applyNumberFormat="1" applyFont="1" applyProtection="1">
      <protection locked="0"/>
    </xf>
    <xf numFmtId="0" fontId="49" fillId="0" borderId="0" xfId="0" applyFont="1" applyProtection="1">
      <protection locked="0"/>
    </xf>
    <xf numFmtId="0" fontId="61" fillId="0" borderId="0" xfId="0" applyFont="1" applyBorder="1" applyProtection="1">
      <protection locked="0"/>
    </xf>
    <xf numFmtId="0" fontId="14" fillId="0" borderId="0" xfId="0" applyFont="1" applyProtection="1">
      <protection locked="0"/>
    </xf>
    <xf numFmtId="0" fontId="63" fillId="0" borderId="0" xfId="0" applyFont="1" applyProtection="1">
      <protection locked="0"/>
    </xf>
    <xf numFmtId="0" fontId="41" fillId="0" borderId="0" xfId="1" applyFont="1" applyProtection="1">
      <protection locked="0"/>
    </xf>
    <xf numFmtId="0" fontId="57" fillId="0" borderId="0" xfId="1" applyFont="1" applyProtection="1">
      <protection locked="0"/>
    </xf>
    <xf numFmtId="0" fontId="19" fillId="0" borderId="0" xfId="1" applyProtection="1">
      <protection locked="0"/>
    </xf>
    <xf numFmtId="0" fontId="19" fillId="0" borderId="0" xfId="1" applyFont="1" applyProtection="1">
      <protection locked="0"/>
    </xf>
    <xf numFmtId="3" fontId="45" fillId="4" borderId="0" xfId="1" applyNumberFormat="1" applyFont="1" applyFill="1" applyProtection="1">
      <protection locked="0"/>
    </xf>
    <xf numFmtId="3" fontId="15" fillId="4" borderId="0" xfId="1" applyNumberFormat="1" applyFont="1" applyFill="1" applyProtection="1">
      <protection locked="0"/>
    </xf>
    <xf numFmtId="3" fontId="13" fillId="0" borderId="8" xfId="1" quotePrefix="1" applyNumberFormat="1" applyFont="1" applyFill="1" applyBorder="1" applyAlignment="1" applyProtection="1">
      <alignment horizontal="center"/>
      <protection locked="0"/>
    </xf>
    <xf numFmtId="3" fontId="13" fillId="0" borderId="9" xfId="1" quotePrefix="1" applyNumberFormat="1" applyFont="1" applyFill="1" applyBorder="1" applyAlignment="1" applyProtection="1">
      <alignment horizontal="center"/>
      <protection locked="0"/>
    </xf>
    <xf numFmtId="3" fontId="13" fillId="0" borderId="10" xfId="1" quotePrefix="1" applyNumberFormat="1" applyFont="1" applyFill="1" applyBorder="1" applyAlignment="1" applyProtection="1">
      <alignment horizontal="center"/>
      <protection locked="0"/>
    </xf>
    <xf numFmtId="0" fontId="17" fillId="0" borderId="8" xfId="1" applyFont="1" applyBorder="1" applyProtection="1">
      <protection locked="0"/>
    </xf>
    <xf numFmtId="0" fontId="17" fillId="0" borderId="10" xfId="1" applyFont="1" applyBorder="1" applyProtection="1">
      <protection locked="0"/>
    </xf>
    <xf numFmtId="0" fontId="17" fillId="0" borderId="9" xfId="1" applyFont="1" applyBorder="1" applyProtection="1">
      <protection locked="0"/>
    </xf>
    <xf numFmtId="0" fontId="17" fillId="4" borderId="10" xfId="1" applyFont="1" applyFill="1" applyBorder="1" applyProtection="1">
      <protection locked="0"/>
    </xf>
    <xf numFmtId="0" fontId="17" fillId="4" borderId="8" xfId="1" applyFont="1" applyFill="1" applyBorder="1" applyProtection="1">
      <protection locked="0"/>
    </xf>
    <xf numFmtId="0" fontId="17" fillId="4" borderId="9" xfId="1" applyFont="1" applyFill="1" applyBorder="1" applyProtection="1">
      <protection locked="0"/>
    </xf>
    <xf numFmtId="0" fontId="19" fillId="0" borderId="9" xfId="1" applyFont="1" applyBorder="1" applyProtection="1">
      <protection locked="0"/>
    </xf>
    <xf numFmtId="3" fontId="45" fillId="0" borderId="1" xfId="1" applyNumberFormat="1" applyFont="1" applyFill="1" applyBorder="1" applyProtection="1">
      <protection locked="0"/>
    </xf>
    <xf numFmtId="3" fontId="45" fillId="0" borderId="4" xfId="1" applyNumberFormat="1" applyFont="1" applyFill="1" applyBorder="1" applyProtection="1">
      <protection locked="0"/>
    </xf>
    <xf numFmtId="0" fontId="15" fillId="0" borderId="7" xfId="1" applyNumberFormat="1" applyFont="1" applyFill="1" applyBorder="1" applyAlignment="1" applyProtection="1">
      <alignment horizontal="center"/>
      <protection locked="0"/>
    </xf>
    <xf numFmtId="3" fontId="50" fillId="4" borderId="6" xfId="1" applyNumberFormat="1" applyFont="1" applyFill="1" applyBorder="1" applyProtection="1">
      <protection locked="0"/>
    </xf>
    <xf numFmtId="169" fontId="15" fillId="0" borderId="6" xfId="1" applyNumberFormat="1" applyFont="1" applyFill="1" applyBorder="1" applyAlignment="1" applyProtection="1">
      <alignment horizontal="center"/>
      <protection locked="0"/>
    </xf>
    <xf numFmtId="3" fontId="30" fillId="4" borderId="1" xfId="1" applyNumberFormat="1" applyFont="1" applyFill="1" applyBorder="1" applyAlignment="1" applyProtection="1">
      <alignment horizontal="right"/>
      <protection locked="0"/>
    </xf>
    <xf numFmtId="3" fontId="30" fillId="4" borderId="7" xfId="1" applyNumberFormat="1" applyFont="1" applyFill="1" applyBorder="1" applyAlignment="1" applyProtection="1">
      <alignment horizontal="right"/>
      <protection locked="0"/>
    </xf>
    <xf numFmtId="3" fontId="30" fillId="4" borderId="1" xfId="15" applyNumberFormat="1" applyFont="1" applyFill="1" applyBorder="1" applyAlignment="1" applyProtection="1">
      <alignment horizontal="right"/>
      <protection locked="0"/>
    </xf>
    <xf numFmtId="0" fontId="30" fillId="4" borderId="7" xfId="1" applyFont="1" applyFill="1" applyBorder="1" applyAlignment="1" applyProtection="1">
      <alignment horizontal="right"/>
      <protection locked="0"/>
    </xf>
    <xf numFmtId="0" fontId="30" fillId="0" borderId="4" xfId="1" applyFont="1" applyFill="1" applyBorder="1" applyProtection="1">
      <protection locked="0"/>
    </xf>
    <xf numFmtId="3" fontId="30" fillId="4" borderId="4" xfId="1" applyNumberFormat="1" applyFont="1" applyFill="1" applyBorder="1" applyAlignment="1" applyProtection="1">
      <alignment horizontal="right"/>
      <protection locked="0"/>
    </xf>
    <xf numFmtId="3" fontId="30" fillId="4" borderId="3" xfId="1" applyNumberFormat="1" applyFont="1" applyFill="1" applyBorder="1" applyAlignment="1" applyProtection="1">
      <alignment horizontal="right"/>
      <protection locked="0"/>
    </xf>
    <xf numFmtId="3" fontId="30" fillId="4" borderId="4" xfId="15" applyNumberFormat="1" applyFont="1" applyFill="1" applyBorder="1" applyAlignment="1" applyProtection="1">
      <alignment horizontal="right"/>
    </xf>
    <xf numFmtId="3" fontId="30" fillId="4" borderId="4" xfId="15" applyNumberFormat="1" applyFont="1" applyFill="1" applyBorder="1" applyAlignment="1" applyProtection="1">
      <alignment horizontal="right"/>
      <protection locked="0"/>
    </xf>
    <xf numFmtId="0" fontId="30" fillId="4" borderId="3" xfId="1" applyFont="1" applyFill="1" applyBorder="1" applyAlignment="1" applyProtection="1">
      <alignment horizontal="right"/>
      <protection locked="0"/>
    </xf>
    <xf numFmtId="3" fontId="30" fillId="0" borderId="3" xfId="1" applyNumberFormat="1" applyFont="1" applyFill="1" applyBorder="1" applyAlignment="1" applyProtection="1">
      <alignment horizontal="right"/>
      <protection locked="0"/>
    </xf>
    <xf numFmtId="0" fontId="30" fillId="0" borderId="3" xfId="1" applyFont="1" applyBorder="1" applyAlignment="1" applyProtection="1">
      <alignment horizontal="right"/>
      <protection locked="0"/>
    </xf>
    <xf numFmtId="166" fontId="30" fillId="0" borderId="3" xfId="847" applyNumberFormat="1" applyFont="1" applyBorder="1" applyAlignment="1" applyProtection="1">
      <alignment horizontal="right"/>
    </xf>
    <xf numFmtId="166" fontId="30" fillId="0" borderId="3" xfId="847" applyNumberFormat="1" applyFont="1" applyBorder="1" applyAlignment="1" applyProtection="1">
      <alignment horizontal="right"/>
      <protection locked="0"/>
    </xf>
    <xf numFmtId="3" fontId="30" fillId="10" borderId="3" xfId="1" applyNumberFormat="1" applyFont="1" applyFill="1" applyBorder="1" applyAlignment="1" applyProtection="1">
      <alignment horizontal="right"/>
      <protection locked="0"/>
    </xf>
    <xf numFmtId="170" fontId="30" fillId="0" borderId="3" xfId="847" applyNumberFormat="1" applyFont="1" applyBorder="1" applyAlignment="1" applyProtection="1">
      <alignment horizontal="right"/>
    </xf>
    <xf numFmtId="170" fontId="30" fillId="0" borderId="3" xfId="847" applyNumberFormat="1" applyFont="1" applyBorder="1" applyAlignment="1" applyProtection="1">
      <alignment horizontal="right"/>
      <protection locked="0"/>
    </xf>
    <xf numFmtId="0" fontId="30" fillId="0" borderId="3" xfId="1" applyFont="1" applyFill="1" applyBorder="1" applyAlignment="1" applyProtection="1">
      <alignment horizontal="right"/>
      <protection locked="0"/>
    </xf>
    <xf numFmtId="166" fontId="30" fillId="4" borderId="4" xfId="847" applyNumberFormat="1" applyFont="1" applyFill="1" applyBorder="1" applyAlignment="1" applyProtection="1">
      <alignment horizontal="right"/>
    </xf>
    <xf numFmtId="166" fontId="30" fillId="4" borderId="4" xfId="847" applyNumberFormat="1" applyFont="1" applyFill="1" applyBorder="1" applyAlignment="1" applyProtection="1">
      <alignment horizontal="right"/>
      <protection locked="0"/>
    </xf>
    <xf numFmtId="166" fontId="30" fillId="4" borderId="3" xfId="847" applyNumberFormat="1" applyFont="1" applyFill="1" applyBorder="1" applyAlignment="1" applyProtection="1">
      <alignment horizontal="right"/>
    </xf>
    <xf numFmtId="166" fontId="30" fillId="4" borderId="3" xfId="847" applyNumberFormat="1" applyFont="1" applyFill="1" applyBorder="1" applyAlignment="1" applyProtection="1">
      <alignment horizontal="right"/>
      <protection locked="0"/>
    </xf>
    <xf numFmtId="0" fontId="19" fillId="0" borderId="0" xfId="1" applyFont="1" applyFill="1" applyProtection="1">
      <protection locked="0"/>
    </xf>
    <xf numFmtId="0" fontId="45" fillId="0" borderId="11" xfId="1" applyFont="1" applyFill="1" applyBorder="1" applyProtection="1">
      <protection locked="0"/>
    </xf>
    <xf numFmtId="3" fontId="45" fillId="4" borderId="6" xfId="1" applyNumberFormat="1" applyFont="1" applyFill="1" applyBorder="1" applyAlignment="1" applyProtection="1">
      <alignment horizontal="right"/>
      <protection locked="0"/>
    </xf>
    <xf numFmtId="0" fontId="49" fillId="0" borderId="0" xfId="1" applyFont="1" applyProtection="1">
      <protection locked="0"/>
    </xf>
    <xf numFmtId="0" fontId="45" fillId="0" borderId="4" xfId="1" applyFont="1" applyFill="1" applyBorder="1" applyProtection="1">
      <protection locked="0"/>
    </xf>
    <xf numFmtId="3" fontId="45" fillId="4" borderId="4" xfId="15" applyNumberFormat="1" applyFont="1" applyFill="1" applyBorder="1" applyAlignment="1" applyProtection="1">
      <alignment horizontal="right"/>
    </xf>
    <xf numFmtId="3" fontId="45" fillId="4" borderId="4" xfId="15" applyNumberFormat="1" applyFont="1" applyFill="1" applyBorder="1" applyAlignment="1" applyProtection="1">
      <alignment horizontal="right"/>
      <protection locked="0"/>
    </xf>
    <xf numFmtId="3" fontId="45" fillId="4" borderId="3" xfId="1" applyNumberFormat="1" applyFont="1" applyFill="1" applyBorder="1" applyAlignment="1" applyProtection="1">
      <alignment horizontal="right"/>
      <protection locked="0"/>
    </xf>
    <xf numFmtId="3" fontId="45" fillId="4" borderId="7" xfId="1" applyNumberFormat="1" applyFont="1" applyFill="1" applyBorder="1" applyAlignment="1" applyProtection="1">
      <alignment horizontal="right"/>
      <protection locked="0"/>
    </xf>
    <xf numFmtId="0" fontId="45" fillId="4" borderId="7" xfId="1" applyFont="1" applyFill="1" applyBorder="1" applyAlignment="1" applyProtection="1">
      <alignment horizontal="right"/>
      <protection locked="0"/>
    </xf>
    <xf numFmtId="0" fontId="45" fillId="4" borderId="15" xfId="1" applyFont="1" applyFill="1" applyBorder="1" applyAlignment="1" applyProtection="1">
      <alignment horizontal="right"/>
      <protection locked="0"/>
    </xf>
    <xf numFmtId="0" fontId="49" fillId="0" borderId="7" xfId="1" applyFont="1" applyBorder="1" applyAlignment="1" applyProtection="1">
      <alignment horizontal="right"/>
      <protection locked="0"/>
    </xf>
    <xf numFmtId="0" fontId="45" fillId="4" borderId="3" xfId="1" applyFont="1" applyFill="1" applyBorder="1" applyAlignment="1" applyProtection="1">
      <alignment horizontal="right"/>
      <protection locked="0"/>
    </xf>
    <xf numFmtId="0" fontId="45" fillId="4" borderId="2" xfId="1" applyFont="1" applyFill="1" applyBorder="1" applyAlignment="1" applyProtection="1">
      <alignment horizontal="right"/>
      <protection locked="0"/>
    </xf>
    <xf numFmtId="0" fontId="49" fillId="0" borderId="3" xfId="1" applyFont="1" applyBorder="1" applyAlignment="1" applyProtection="1">
      <alignment horizontal="right"/>
      <protection locked="0"/>
    </xf>
    <xf numFmtId="0" fontId="30" fillId="4" borderId="2" xfId="1" applyFont="1" applyFill="1" applyBorder="1" applyAlignment="1" applyProtection="1">
      <alignment horizontal="right"/>
      <protection locked="0"/>
    </xf>
    <xf numFmtId="0" fontId="30" fillId="0" borderId="0" xfId="1" applyFont="1" applyProtection="1">
      <protection locked="0"/>
    </xf>
    <xf numFmtId="3" fontId="30" fillId="4" borderId="2" xfId="1" applyNumberFormat="1" applyFont="1" applyFill="1" applyBorder="1" applyAlignment="1" applyProtection="1">
      <alignment horizontal="right"/>
      <protection locked="0"/>
    </xf>
    <xf numFmtId="3" fontId="45" fillId="4" borderId="2" xfId="1" applyNumberFormat="1" applyFont="1" applyFill="1" applyBorder="1" applyAlignment="1" applyProtection="1">
      <alignment horizontal="right"/>
      <protection locked="0"/>
    </xf>
    <xf numFmtId="0" fontId="45" fillId="0" borderId="0" xfId="1" applyFont="1" applyProtection="1">
      <protection locked="0"/>
    </xf>
    <xf numFmtId="3" fontId="45" fillId="4" borderId="11" xfId="15" applyNumberFormat="1" applyFont="1" applyFill="1" applyBorder="1" applyAlignment="1" applyProtection="1">
      <alignment horizontal="right"/>
    </xf>
    <xf numFmtId="3" fontId="45" fillId="4" borderId="11" xfId="15" applyNumberFormat="1" applyFont="1" applyFill="1" applyBorder="1" applyAlignment="1" applyProtection="1">
      <alignment horizontal="right"/>
      <protection locked="0"/>
    </xf>
    <xf numFmtId="0" fontId="45" fillId="4" borderId="6" xfId="1" applyFont="1" applyFill="1" applyBorder="1" applyAlignment="1" applyProtection="1">
      <alignment horizontal="right"/>
      <protection locked="0"/>
    </xf>
    <xf numFmtId="0" fontId="45" fillId="4" borderId="5" xfId="1" applyFont="1" applyFill="1" applyBorder="1" applyAlignment="1" applyProtection="1">
      <alignment horizontal="right"/>
      <protection locked="0"/>
    </xf>
    <xf numFmtId="0" fontId="45" fillId="0" borderId="6" xfId="1" applyFont="1" applyBorder="1" applyAlignment="1" applyProtection="1">
      <alignment horizontal="right"/>
      <protection locked="0"/>
    </xf>
    <xf numFmtId="0" fontId="45" fillId="0" borderId="7" xfId="1" applyFont="1" applyFill="1" applyBorder="1" applyProtection="1">
      <protection locked="0"/>
    </xf>
    <xf numFmtId="3" fontId="45" fillId="4" borderId="1" xfId="14" applyNumberFormat="1" applyFont="1" applyFill="1" applyBorder="1" applyAlignment="1" applyProtection="1">
      <alignment horizontal="right"/>
      <protection locked="0"/>
    </xf>
    <xf numFmtId="3" fontId="45" fillId="4" borderId="1" xfId="1" applyNumberFormat="1" applyFont="1" applyFill="1" applyBorder="1" applyAlignment="1" applyProtection="1">
      <alignment horizontal="right"/>
      <protection locked="0"/>
    </xf>
    <xf numFmtId="0" fontId="45" fillId="4" borderId="1" xfId="1" applyFont="1" applyFill="1" applyBorder="1" applyAlignment="1" applyProtection="1">
      <alignment horizontal="right"/>
      <protection locked="0"/>
    </xf>
    <xf numFmtId="0" fontId="45" fillId="0" borderId="7" xfId="1" applyFont="1" applyBorder="1" applyAlignment="1" applyProtection="1">
      <alignment horizontal="right"/>
      <protection locked="0"/>
    </xf>
    <xf numFmtId="0" fontId="45" fillId="0" borderId="0" xfId="1" applyFont="1" applyFill="1" applyProtection="1">
      <protection locked="0"/>
    </xf>
    <xf numFmtId="0" fontId="30" fillId="0" borderId="0" xfId="1" applyFont="1" applyFill="1" applyProtection="1">
      <protection locked="0"/>
    </xf>
    <xf numFmtId="0" fontId="61" fillId="0" borderId="0" xfId="1" applyFont="1" applyBorder="1" applyProtection="1">
      <protection locked="0"/>
    </xf>
    <xf numFmtId="0" fontId="61" fillId="0" borderId="0" xfId="1" applyFont="1" applyProtection="1">
      <protection locked="0"/>
    </xf>
    <xf numFmtId="0" fontId="70" fillId="0" borderId="0" xfId="1" applyFont="1" applyProtection="1">
      <protection locked="0"/>
    </xf>
    <xf numFmtId="0" fontId="70" fillId="0" borderId="0" xfId="1" applyFont="1" applyBorder="1" applyProtection="1">
      <protection locked="0"/>
    </xf>
    <xf numFmtId="4" fontId="70" fillId="0" borderId="0" xfId="1" applyNumberFormat="1" applyFont="1" applyProtection="1">
      <protection locked="0"/>
    </xf>
    <xf numFmtId="3" fontId="70" fillId="0" borderId="0" xfId="1" applyNumberFormat="1" applyFont="1" applyProtection="1">
      <protection locked="0"/>
    </xf>
    <xf numFmtId="3" fontId="30" fillId="0" borderId="11" xfId="7" applyNumberFormat="1" applyFont="1" applyFill="1" applyBorder="1" applyAlignment="1" applyProtection="1">
      <alignment horizontal="right"/>
    </xf>
    <xf numFmtId="3" fontId="30" fillId="0" borderId="11" xfId="7" applyNumberFormat="1" applyFont="1" applyFill="1" applyBorder="1" applyAlignment="1" applyProtection="1">
      <alignment horizontal="right"/>
      <protection locked="0"/>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0" xfId="1" applyNumberFormat="1" applyFont="1" applyBorder="1" applyAlignment="1">
      <alignment horizontal="center"/>
    </xf>
    <xf numFmtId="3" fontId="13" fillId="0" borderId="12" xfId="1" applyNumberFormat="1" applyFont="1" applyBorder="1" applyAlignment="1">
      <alignment horizontal="center"/>
    </xf>
    <xf numFmtId="3" fontId="13" fillId="0" borderId="0" xfId="1" applyNumberFormat="1" applyFont="1" applyFill="1" applyBorder="1" applyAlignment="1">
      <alignment horizontal="center"/>
    </xf>
    <xf numFmtId="0" fontId="17" fillId="0" borderId="6" xfId="0" applyFont="1" applyFill="1" applyBorder="1"/>
    <xf numFmtId="3" fontId="17" fillId="0" borderId="3" xfId="847" applyNumberFormat="1" applyFont="1" applyBorder="1" applyAlignment="1">
      <alignment horizontal="left"/>
    </xf>
    <xf numFmtId="0" fontId="15" fillId="0" borderId="6" xfId="1" applyFont="1" applyFill="1" applyBorder="1"/>
    <xf numFmtId="3" fontId="17" fillId="0" borderId="3" xfId="847" applyNumberFormat="1" applyFont="1" applyFill="1" applyBorder="1" applyAlignment="1">
      <alignment horizontal="left"/>
    </xf>
    <xf numFmtId="0" fontId="15" fillId="0" borderId="4" xfId="1" applyFont="1" applyFill="1" applyBorder="1"/>
    <xf numFmtId="0" fontId="15" fillId="0" borderId="11" xfId="1" applyFont="1" applyFill="1" applyBorder="1"/>
    <xf numFmtId="0" fontId="45" fillId="2" borderId="3" xfId="0" applyFont="1" applyFill="1" applyBorder="1" applyProtection="1">
      <protection locked="0"/>
    </xf>
    <xf numFmtId="0" fontId="45" fillId="2" borderId="6" xfId="0" applyFont="1" applyFill="1" applyBorder="1" applyProtection="1">
      <protection locked="0"/>
    </xf>
    <xf numFmtId="3" fontId="30" fillId="4" borderId="1" xfId="0" applyNumberFormat="1" applyFont="1" applyFill="1" applyBorder="1" applyAlignment="1" applyProtection="1">
      <alignment horizontal="right"/>
      <protection locked="0"/>
    </xf>
    <xf numFmtId="3" fontId="45" fillId="0" borderId="6" xfId="0" applyNumberFormat="1" applyFont="1" applyFill="1" applyBorder="1" applyAlignment="1" applyProtection="1">
      <alignment horizontal="right"/>
      <protection locked="0"/>
    </xf>
    <xf numFmtId="1" fontId="13" fillId="0" borderId="11" xfId="1" applyNumberFormat="1" applyFont="1" applyBorder="1" applyAlignment="1">
      <alignment horizontal="center"/>
    </xf>
    <xf numFmtId="0" fontId="30" fillId="0" borderId="3" xfId="0" applyFont="1" applyBorder="1" applyAlignment="1" applyProtection="1">
      <alignment horizontal="right"/>
      <protection locked="0"/>
    </xf>
    <xf numFmtId="3" fontId="30" fillId="4" borderId="7" xfId="0" applyNumberFormat="1" applyFont="1" applyFill="1" applyBorder="1" applyAlignment="1" applyProtection="1">
      <alignment horizontal="right"/>
      <protection locked="0"/>
    </xf>
    <xf numFmtId="1" fontId="30" fillId="0" borderId="3" xfId="0" applyNumberFormat="1" applyFont="1" applyBorder="1" applyAlignment="1" applyProtection="1">
      <alignment horizontal="right"/>
      <protection locked="0"/>
    </xf>
    <xf numFmtId="3" fontId="30" fillId="4" borderId="0" xfId="0" applyNumberFormat="1" applyFont="1" applyFill="1" applyBorder="1" applyAlignment="1" applyProtection="1">
      <alignment horizontal="right"/>
      <protection locked="0"/>
    </xf>
    <xf numFmtId="3" fontId="30" fillId="4" borderId="1" xfId="7" applyNumberFormat="1" applyFont="1" applyFill="1" applyBorder="1" applyAlignment="1" applyProtection="1">
      <alignment horizontal="right"/>
    </xf>
    <xf numFmtId="3" fontId="30" fillId="4" borderId="4" xfId="7" applyNumberFormat="1" applyFont="1" applyFill="1" applyBorder="1" applyAlignment="1" applyProtection="1">
      <alignment horizontal="right"/>
    </xf>
    <xf numFmtId="3" fontId="30" fillId="4" borderId="3" xfId="7" applyNumberFormat="1" applyFont="1" applyFill="1" applyBorder="1" applyAlignment="1" applyProtection="1">
      <alignment horizontal="right"/>
    </xf>
    <xf numFmtId="3" fontId="30" fillId="0" borderId="3" xfId="7" applyNumberFormat="1" applyFont="1" applyFill="1" applyBorder="1" applyAlignment="1" applyProtection="1">
      <alignment horizontal="right"/>
    </xf>
    <xf numFmtId="3" fontId="45" fillId="0" borderId="6" xfId="7" applyNumberFormat="1" applyFont="1" applyFill="1" applyBorder="1" applyAlignment="1" applyProtection="1">
      <alignment horizontal="right"/>
    </xf>
    <xf numFmtId="4" fontId="30" fillId="4" borderId="4" xfId="7" applyNumberFormat="1" applyFont="1" applyFill="1" applyBorder="1" applyAlignment="1" applyProtection="1">
      <alignment horizontal="right"/>
      <protection locked="0"/>
    </xf>
    <xf numFmtId="3" fontId="30" fillId="4" borderId="4" xfId="7" applyNumberFormat="1" applyFont="1" applyFill="1" applyBorder="1" applyAlignment="1" applyProtection="1">
      <alignment horizontal="right"/>
      <protection locked="0"/>
    </xf>
    <xf numFmtId="3" fontId="30" fillId="4" borderId="11" xfId="7" applyNumberFormat="1" applyFont="1" applyFill="1" applyBorder="1" applyAlignment="1" applyProtection="1">
      <alignment horizontal="right"/>
      <protection locked="0"/>
    </xf>
    <xf numFmtId="4" fontId="30" fillId="4" borderId="3" xfId="7" applyNumberFormat="1" applyFont="1" applyFill="1" applyBorder="1" applyAlignment="1" applyProtection="1">
      <alignment horizontal="right"/>
      <protection locked="0"/>
    </xf>
    <xf numFmtId="3" fontId="30" fillId="4" borderId="3" xfId="7" applyNumberFormat="1" applyFont="1" applyFill="1" applyBorder="1" applyAlignment="1" applyProtection="1">
      <alignment horizontal="right"/>
      <protection locked="0"/>
    </xf>
    <xf numFmtId="4" fontId="30" fillId="4" borderId="3" xfId="7" applyNumberFormat="1" applyFont="1" applyFill="1" applyBorder="1" applyAlignment="1" applyProtection="1">
      <alignment horizontal="right"/>
    </xf>
    <xf numFmtId="3" fontId="30" fillId="4" borderId="6" xfId="7" applyNumberFormat="1" applyFont="1" applyFill="1" applyBorder="1" applyAlignment="1" applyProtection="1">
      <alignment horizontal="right"/>
    </xf>
    <xf numFmtId="3" fontId="30" fillId="4" borderId="6" xfId="7" applyNumberFormat="1" applyFont="1" applyFill="1" applyBorder="1" applyAlignment="1" applyProtection="1">
      <alignment horizontal="right"/>
      <protection locked="0"/>
    </xf>
    <xf numFmtId="3" fontId="30" fillId="4" borderId="1" xfId="0" applyNumberFormat="1" applyFont="1" applyFill="1" applyBorder="1" applyAlignment="1" applyProtection="1">
      <alignment horizontal="right"/>
    </xf>
    <xf numFmtId="3" fontId="45" fillId="0" borderId="6" xfId="0" applyNumberFormat="1" applyFont="1" applyFill="1" applyBorder="1" applyAlignment="1" applyProtection="1">
      <alignment horizontal="right"/>
    </xf>
    <xf numFmtId="0" fontId="30" fillId="2" borderId="3" xfId="0" applyFont="1" applyFill="1" applyBorder="1" applyProtection="1">
      <protection locked="0"/>
    </xf>
    <xf numFmtId="0" fontId="30" fillId="2" borderId="6" xfId="0" applyFont="1" applyFill="1" applyBorder="1" applyProtection="1">
      <protection locked="0"/>
    </xf>
    <xf numFmtId="0" fontId="30" fillId="0" borderId="3" xfId="0" applyFont="1" applyBorder="1" applyAlignment="1" applyProtection="1">
      <alignment horizontal="right"/>
    </xf>
    <xf numFmtId="3" fontId="30" fillId="4" borderId="7" xfId="0" applyNumberFormat="1" applyFont="1" applyFill="1" applyBorder="1" applyAlignment="1" applyProtection="1">
      <alignment horizontal="right"/>
    </xf>
    <xf numFmtId="1" fontId="30" fillId="0" borderId="3" xfId="0" applyNumberFormat="1" applyFont="1" applyBorder="1" applyAlignment="1" applyProtection="1">
      <alignment horizontal="right"/>
    </xf>
    <xf numFmtId="3" fontId="30" fillId="0" borderId="3" xfId="7" applyNumberFormat="1" applyFont="1" applyBorder="1" applyAlignment="1" applyProtection="1">
      <alignment horizontal="right"/>
    </xf>
    <xf numFmtId="1" fontId="13" fillId="0" borderId="11" xfId="1" applyNumberFormat="1" applyFont="1" applyFill="1" applyBorder="1" applyAlignment="1">
      <alignment horizontal="center"/>
    </xf>
    <xf numFmtId="0" fontId="13" fillId="0" borderId="6" xfId="0" applyFont="1" applyFill="1" applyBorder="1" applyAlignment="1" applyProtection="1">
      <alignment horizontal="center"/>
      <protection locked="0"/>
    </xf>
    <xf numFmtId="3" fontId="45" fillId="0" borderId="3" xfId="7" applyNumberFormat="1" applyFont="1" applyBorder="1" applyAlignment="1" applyProtection="1">
      <alignment horizontal="right"/>
    </xf>
    <xf numFmtId="3" fontId="45" fillId="0" borderId="6" xfId="7" applyNumberFormat="1" applyFont="1" applyBorder="1" applyAlignment="1" applyProtection="1">
      <alignment horizontal="right"/>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3" fontId="30" fillId="0" borderId="2" xfId="0" applyNumberFormat="1" applyFont="1" applyBorder="1" applyAlignment="1" applyProtection="1">
      <alignment horizontal="right"/>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3" fontId="45" fillId="4" borderId="4" xfId="848" applyNumberFormat="1" applyFont="1" applyFill="1" applyBorder="1" applyAlignment="1" applyProtection="1">
      <alignment horizontal="right"/>
    </xf>
    <xf numFmtId="3" fontId="30" fillId="4" borderId="4" xfId="848" applyNumberFormat="1" applyFont="1" applyFill="1" applyBorder="1" applyAlignment="1" applyProtection="1">
      <alignment horizontal="right"/>
    </xf>
    <xf numFmtId="3" fontId="45" fillId="4" borderId="11" xfId="848" applyNumberFormat="1" applyFont="1" applyFill="1" applyBorder="1" applyAlignment="1" applyProtection="1">
      <alignment horizontal="right"/>
    </xf>
    <xf numFmtId="3" fontId="30" fillId="4" borderId="1" xfId="848" applyNumberFormat="1" applyFont="1" applyFill="1" applyBorder="1" applyAlignment="1" applyProtection="1">
      <alignment horizontal="right"/>
    </xf>
    <xf numFmtId="3" fontId="30" fillId="4" borderId="4" xfId="849" applyNumberFormat="1" applyFont="1" applyFill="1" applyBorder="1" applyAlignment="1" applyProtection="1">
      <alignment horizontal="right"/>
    </xf>
    <xf numFmtId="3" fontId="30" fillId="0" borderId="4" xfId="849" applyNumberFormat="1" applyFont="1" applyFill="1" applyBorder="1" applyAlignment="1" applyProtection="1">
      <alignment horizontal="right"/>
    </xf>
    <xf numFmtId="3" fontId="30" fillId="0" borderId="4" xfId="15" applyNumberFormat="1" applyFont="1" applyFill="1" applyBorder="1" applyAlignment="1" applyProtection="1">
      <alignment horizontal="right"/>
    </xf>
    <xf numFmtId="3" fontId="45" fillId="0" borderId="4" xfId="15" applyNumberFormat="1" applyFont="1" applyFill="1" applyBorder="1" applyAlignment="1" applyProtection="1">
      <alignment horizontal="right"/>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166" fontId="30" fillId="4" borderId="3" xfId="849" applyNumberFormat="1" applyFont="1" applyFill="1" applyBorder="1" applyAlignment="1" applyProtection="1">
      <alignment horizontal="right"/>
    </xf>
    <xf numFmtId="3" fontId="30" fillId="4" borderId="0" xfId="0" applyNumberFormat="1" applyFont="1" applyFill="1" applyBorder="1" applyAlignment="1" applyProtection="1">
      <alignment horizontal="right"/>
    </xf>
    <xf numFmtId="0" fontId="30" fillId="0" borderId="3" xfId="7" applyFont="1" applyBorder="1" applyAlignment="1" applyProtection="1">
      <alignment horizontal="right"/>
    </xf>
    <xf numFmtId="3" fontId="45" fillId="4" borderId="4" xfId="751" applyNumberFormat="1" applyFont="1" applyFill="1" applyBorder="1" applyAlignment="1" applyProtection="1">
      <alignment horizontal="right"/>
    </xf>
    <xf numFmtId="3" fontId="30" fillId="4" borderId="4" xfId="751" applyNumberFormat="1" applyFont="1" applyFill="1" applyBorder="1" applyAlignment="1" applyProtection="1">
      <alignment horizontal="right"/>
    </xf>
    <xf numFmtId="3" fontId="45" fillId="4" borderId="11" xfId="751" applyNumberFormat="1" applyFont="1" applyFill="1" applyBorder="1" applyAlignment="1" applyProtection="1">
      <alignment horizontal="right"/>
    </xf>
    <xf numFmtId="0" fontId="41" fillId="0" borderId="0" xfId="7" applyFont="1" applyFill="1"/>
    <xf numFmtId="0" fontId="19" fillId="0" borderId="0" xfId="7"/>
    <xf numFmtId="165" fontId="19" fillId="0" borderId="0" xfId="7" applyNumberFormat="1"/>
    <xf numFmtId="3" fontId="58" fillId="0" borderId="0" xfId="7" applyNumberFormat="1" applyFont="1" applyFill="1"/>
    <xf numFmtId="165" fontId="19" fillId="0" borderId="0" xfId="7" applyNumberFormat="1" applyBorder="1"/>
    <xf numFmtId="14" fontId="13" fillId="0" borderId="7" xfId="7" applyNumberFormat="1" applyFont="1" applyFill="1" applyBorder="1" applyAlignment="1">
      <alignment horizontal="left"/>
    </xf>
    <xf numFmtId="0" fontId="17" fillId="0" borderId="10" xfId="7" applyFont="1" applyBorder="1"/>
    <xf numFmtId="0" fontId="17" fillId="0" borderId="8" xfId="7" applyFont="1" applyBorder="1"/>
    <xf numFmtId="0" fontId="17" fillId="0" borderId="9" xfId="7" applyFont="1" applyBorder="1"/>
    <xf numFmtId="0" fontId="69" fillId="0" borderId="8" xfId="7" applyFont="1" applyBorder="1" applyAlignment="1">
      <alignment horizontal="center"/>
    </xf>
    <xf numFmtId="165" fontId="17" fillId="4" borderId="0" xfId="7" applyNumberFormat="1" applyFont="1" applyFill="1" applyBorder="1"/>
    <xf numFmtId="0" fontId="17" fillId="4" borderId="0" xfId="7" applyFont="1" applyFill="1" applyBorder="1"/>
    <xf numFmtId="3" fontId="45" fillId="0" borderId="1" xfId="7" applyNumberFormat="1" applyFont="1" applyFill="1" applyBorder="1"/>
    <xf numFmtId="0" fontId="45" fillId="0" borderId="1" xfId="7" applyNumberFormat="1" applyFont="1" applyFill="1" applyBorder="1" applyAlignment="1">
      <alignment horizontal="center"/>
    </xf>
    <xf numFmtId="0" fontId="45" fillId="0" borderId="14" xfId="7" applyNumberFormat="1" applyFont="1" applyFill="1" applyBorder="1" applyAlignment="1">
      <alignment horizontal="center"/>
    </xf>
    <xf numFmtId="0" fontId="45" fillId="0" borderId="15" xfId="7" applyNumberFormat="1" applyFont="1" applyFill="1" applyBorder="1" applyAlignment="1">
      <alignment horizontal="center"/>
    </xf>
    <xf numFmtId="0" fontId="19" fillId="0" borderId="0" xfId="7" applyBorder="1"/>
    <xf numFmtId="0" fontId="45" fillId="4" borderId="0" xfId="7" applyNumberFormat="1" applyFont="1" applyFill="1" applyBorder="1" applyAlignment="1">
      <alignment horizontal="center"/>
    </xf>
    <xf numFmtId="3" fontId="45" fillId="0" borderId="4" xfId="7" applyNumberFormat="1" applyFont="1" applyFill="1" applyBorder="1"/>
    <xf numFmtId="0" fontId="15" fillId="0" borderId="1" xfId="7" applyNumberFormat="1" applyFont="1" applyFill="1" applyBorder="1" applyAlignment="1">
      <alignment horizontal="center"/>
    </xf>
    <xf numFmtId="0" fontId="15" fillId="0" borderId="7" xfId="7" applyNumberFormat="1" applyFont="1" applyFill="1" applyBorder="1" applyAlignment="1">
      <alignment horizontal="center"/>
    </xf>
    <xf numFmtId="3" fontId="50" fillId="4" borderId="11" xfId="7" applyNumberFormat="1" applyFont="1" applyFill="1" applyBorder="1"/>
    <xf numFmtId="0" fontId="13" fillId="0" borderId="6" xfId="7" applyFont="1" applyFill="1" applyBorder="1" applyAlignment="1">
      <alignment horizontal="center"/>
    </xf>
    <xf numFmtId="169" fontId="15" fillId="0" borderId="6" xfId="7" applyNumberFormat="1" applyFont="1" applyFill="1" applyBorder="1" applyAlignment="1">
      <alignment horizontal="center"/>
    </xf>
    <xf numFmtId="169" fontId="13" fillId="4" borderId="0" xfId="7" applyNumberFormat="1" applyFont="1" applyFill="1" applyBorder="1" applyAlignment="1">
      <alignment horizontal="center"/>
    </xf>
    <xf numFmtId="0" fontId="13" fillId="4" borderId="0" xfId="7" applyNumberFormat="1" applyFont="1" applyFill="1" applyBorder="1" applyAlignment="1">
      <alignment horizontal="center"/>
    </xf>
    <xf numFmtId="0" fontId="45" fillId="0" borderId="7" xfId="7" applyFont="1" applyFill="1" applyBorder="1"/>
    <xf numFmtId="4" fontId="30" fillId="4" borderId="7" xfId="7" applyNumberFormat="1" applyFont="1" applyFill="1" applyBorder="1" applyAlignment="1">
      <alignment horizontal="right"/>
    </xf>
    <xf numFmtId="4" fontId="30" fillId="4" borderId="4" xfId="7" applyNumberFormat="1" applyFont="1" applyFill="1" applyBorder="1" applyAlignment="1" applyProtection="1">
      <alignment horizontal="right"/>
    </xf>
    <xf numFmtId="4" fontId="30" fillId="4" borderId="7" xfId="7" applyNumberFormat="1" applyFont="1" applyFill="1" applyBorder="1" applyAlignment="1" applyProtection="1">
      <alignment horizontal="right"/>
    </xf>
    <xf numFmtId="0" fontId="36" fillId="0" borderId="0" xfId="7" applyFont="1" applyBorder="1"/>
    <xf numFmtId="0" fontId="36" fillId="0" borderId="0" xfId="7" applyFont="1"/>
    <xf numFmtId="0" fontId="30" fillId="0" borderId="3" xfId="7" applyFont="1" applyFill="1" applyBorder="1"/>
    <xf numFmtId="4" fontId="30" fillId="4" borderId="3" xfId="7" applyNumberFormat="1" applyFont="1" applyFill="1" applyBorder="1" applyAlignment="1">
      <alignment horizontal="right"/>
    </xf>
    <xf numFmtId="3" fontId="30" fillId="4" borderId="3" xfId="7" applyNumberFormat="1" applyFont="1" applyFill="1" applyBorder="1" applyAlignment="1">
      <alignment horizontal="right"/>
    </xf>
    <xf numFmtId="0" fontId="53" fillId="0" borderId="0" xfId="7" applyFont="1" applyBorder="1"/>
    <xf numFmtId="0" fontId="53" fillId="0" borderId="0" xfId="7" applyFont="1"/>
    <xf numFmtId="0" fontId="30" fillId="0" borderId="6" xfId="7" applyFont="1" applyFill="1" applyBorder="1"/>
    <xf numFmtId="3" fontId="30" fillId="4" borderId="6" xfId="7" applyNumberFormat="1" applyFont="1" applyFill="1" applyBorder="1" applyAlignment="1">
      <alignment horizontal="right"/>
    </xf>
    <xf numFmtId="3" fontId="30" fillId="4" borderId="11" xfId="7" applyNumberFormat="1" applyFont="1" applyFill="1" applyBorder="1" applyAlignment="1" applyProtection="1">
      <alignment horizontal="right"/>
    </xf>
    <xf numFmtId="0" fontId="30" fillId="0" borderId="0" xfId="7" applyFont="1" applyFill="1"/>
    <xf numFmtId="0" fontId="30" fillId="0" borderId="0" xfId="7" applyFont="1"/>
    <xf numFmtId="4" fontId="30" fillId="4" borderId="7" xfId="7" applyNumberFormat="1" applyFont="1" applyFill="1" applyBorder="1" applyAlignment="1" applyProtection="1">
      <alignment horizontal="right"/>
      <protection locked="0"/>
    </xf>
    <xf numFmtId="4" fontId="30" fillId="4" borderId="3" xfId="0" applyNumberFormat="1" applyFont="1" applyFill="1" applyBorder="1" applyAlignment="1" applyProtection="1">
      <alignment horizontal="right"/>
    </xf>
    <xf numFmtId="3" fontId="17" fillId="0" borderId="8" xfId="1" applyNumberFormat="1" applyFont="1" applyFill="1" applyBorder="1"/>
    <xf numFmtId="3" fontId="15" fillId="0" borderId="6" xfId="1" applyNumberFormat="1" applyFont="1" applyFill="1" applyBorder="1"/>
    <xf numFmtId="3" fontId="15" fillId="0" borderId="11" xfId="1" applyNumberFormat="1" applyFont="1" applyFill="1" applyBorder="1"/>
    <xf numFmtId="3" fontId="15" fillId="0" borderId="7" xfId="847" applyNumberFormat="1" applyFont="1" applyFill="1" applyBorder="1" applyAlignment="1">
      <alignment horizontal="right"/>
    </xf>
    <xf numFmtId="3" fontId="15" fillId="0" borderId="1" xfId="847" applyNumberFormat="1" applyFont="1" applyFill="1" applyBorder="1" applyAlignment="1">
      <alignment horizontal="right"/>
    </xf>
    <xf numFmtId="3" fontId="17" fillId="0" borderId="3" xfId="847" applyNumberFormat="1" applyFont="1" applyFill="1" applyBorder="1" applyAlignment="1">
      <alignment horizontal="right"/>
    </xf>
    <xf numFmtId="3" fontId="17" fillId="0" borderId="4" xfId="847" applyNumberFormat="1" applyFont="1" applyFill="1" applyBorder="1" applyAlignment="1">
      <alignment horizontal="right"/>
    </xf>
    <xf numFmtId="3" fontId="15" fillId="0" borderId="3" xfId="847" applyNumberFormat="1" applyFont="1" applyFill="1" applyBorder="1" applyAlignment="1">
      <alignment horizontal="right"/>
    </xf>
    <xf numFmtId="3" fontId="15" fillId="0" borderId="4" xfId="847" applyNumberFormat="1" applyFont="1" applyFill="1" applyBorder="1" applyAlignment="1">
      <alignment horizontal="right"/>
    </xf>
    <xf numFmtId="14" fontId="30" fillId="0" borderId="0" xfId="1" applyNumberFormat="1" applyFont="1" applyAlignment="1">
      <alignment horizontal="center"/>
    </xf>
    <xf numFmtId="0" fontId="15" fillId="8" borderId="0" xfId="0" applyFont="1" applyFill="1" applyBorder="1" applyAlignment="1">
      <alignment horizontal="center"/>
    </xf>
    <xf numFmtId="0" fontId="15" fillId="8" borderId="2" xfId="0" applyFont="1" applyFill="1" applyBorder="1" applyAlignment="1">
      <alignment horizontal="center"/>
    </xf>
    <xf numFmtId="0" fontId="45" fillId="0" borderId="12" xfId="0" applyFont="1" applyBorder="1" applyAlignment="1">
      <alignment horizontal="left"/>
    </xf>
    <xf numFmtId="0" fontId="45" fillId="0" borderId="10" xfId="0" applyFont="1" applyBorder="1" applyAlignment="1">
      <alignment horizontal="center"/>
    </xf>
    <xf numFmtId="0" fontId="45" fillId="0" borderId="8" xfId="0" applyFont="1" applyBorder="1" applyAlignment="1">
      <alignment horizontal="center"/>
    </xf>
    <xf numFmtId="0" fontId="45" fillId="0" borderId="9" xfId="0" applyFont="1" applyBorder="1" applyAlignment="1">
      <alignment horizontal="center"/>
    </xf>
    <xf numFmtId="0" fontId="15" fillId="8" borderId="4" xfId="0" applyFont="1" applyFill="1" applyBorder="1" applyAlignment="1">
      <alignment horizontal="center"/>
    </xf>
    <xf numFmtId="0" fontId="45" fillId="0" borderId="14" xfId="0" applyFont="1" applyBorder="1" applyAlignment="1">
      <alignment horizontal="center"/>
    </xf>
    <xf numFmtId="0" fontId="45" fillId="0" borderId="15" xfId="0" applyFont="1" applyBorder="1" applyAlignment="1">
      <alignment horizontal="center"/>
    </xf>
    <xf numFmtId="0" fontId="45" fillId="0" borderId="1" xfId="0" applyFont="1" applyBorder="1" applyAlignment="1">
      <alignment horizontal="center"/>
    </xf>
    <xf numFmtId="14" fontId="13" fillId="0" borderId="11" xfId="0" applyNumberFormat="1" applyFont="1" applyFill="1" applyBorder="1" applyAlignment="1">
      <alignment horizontal="center"/>
    </xf>
    <xf numFmtId="14" fontId="13" fillId="0" borderId="12" xfId="0" applyNumberFormat="1" applyFont="1" applyFill="1" applyBorder="1" applyAlignment="1">
      <alignment horizontal="center"/>
    </xf>
    <xf numFmtId="14" fontId="13" fillId="0" borderId="5" xfId="0" applyNumberFormat="1" applyFont="1" applyFill="1" applyBorder="1" applyAlignment="1">
      <alignment horizontal="center"/>
    </xf>
    <xf numFmtId="3" fontId="45" fillId="0" borderId="11" xfId="0" applyNumberFormat="1" applyFont="1" applyBorder="1" applyAlignment="1">
      <alignment horizontal="center"/>
    </xf>
    <xf numFmtId="3" fontId="45" fillId="0" borderId="12" xfId="0" applyNumberFormat="1" applyFont="1" applyBorder="1" applyAlignment="1">
      <alignment horizontal="center"/>
    </xf>
    <xf numFmtId="3" fontId="45" fillId="0" borderId="5" xfId="0" applyNumberFormat="1" applyFont="1" applyBorder="1" applyAlignment="1">
      <alignment horizontal="center"/>
    </xf>
    <xf numFmtId="0" fontId="13" fillId="0" borderId="0" xfId="1" applyFont="1" applyBorder="1" applyAlignment="1">
      <alignment horizontal="center"/>
    </xf>
    <xf numFmtId="0" fontId="15" fillId="0" borderId="10" xfId="1" applyFont="1" applyBorder="1" applyAlignment="1">
      <alignment horizontal="center"/>
    </xf>
    <xf numFmtId="0" fontId="15" fillId="0" borderId="8" xfId="1" applyFont="1" applyBorder="1" applyAlignment="1">
      <alignment horizontal="center"/>
    </xf>
    <xf numFmtId="0" fontId="15" fillId="0" borderId="9" xfId="1" applyFont="1" applyBorder="1" applyAlignment="1">
      <alignment horizontal="center"/>
    </xf>
    <xf numFmtId="0" fontId="13" fillId="0" borderId="0" xfId="1" applyFont="1" applyFill="1" applyBorder="1" applyAlignment="1">
      <alignment horizontal="center"/>
    </xf>
    <xf numFmtId="3" fontId="13" fillId="0" borderId="12"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14" xfId="1" applyNumberFormat="1" applyFont="1" applyFill="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0" fontId="45" fillId="0" borderId="11" xfId="1" applyNumberFormat="1" applyFont="1" applyFill="1" applyBorder="1" applyAlignment="1" applyProtection="1">
      <alignment horizontal="center"/>
      <protection locked="0"/>
    </xf>
    <xf numFmtId="0" fontId="45" fillId="0" borderId="12" xfId="1" applyNumberFormat="1" applyFont="1" applyFill="1" applyBorder="1" applyAlignment="1" applyProtection="1">
      <alignment horizontal="center"/>
      <protection locked="0"/>
    </xf>
    <xf numFmtId="0" fontId="45" fillId="0" borderId="5" xfId="1" applyNumberFormat="1" applyFont="1" applyFill="1" applyBorder="1" applyAlignment="1" applyProtection="1">
      <alignment horizontal="center"/>
      <protection locked="0"/>
    </xf>
    <xf numFmtId="0" fontId="45" fillId="0" borderId="11" xfId="1" applyFont="1" applyFill="1" applyBorder="1" applyAlignment="1" applyProtection="1">
      <alignment horizontal="center"/>
      <protection locked="0"/>
    </xf>
    <xf numFmtId="0" fontId="45" fillId="0" borderId="12" xfId="1" applyFont="1" applyFill="1" applyBorder="1" applyAlignment="1" applyProtection="1">
      <alignment horizontal="center"/>
      <protection locked="0"/>
    </xf>
    <xf numFmtId="0" fontId="45" fillId="0" borderId="5" xfId="1" applyFont="1" applyFill="1" applyBorder="1" applyAlignment="1" applyProtection="1">
      <alignment horizontal="center"/>
      <protection locked="0"/>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 xfId="1" applyFont="1" applyFill="1" applyBorder="1" applyAlignment="1" applyProtection="1">
      <alignment horizontal="center"/>
      <protection locked="0"/>
    </xf>
    <xf numFmtId="0" fontId="45" fillId="0" borderId="14" xfId="1" applyFont="1" applyFill="1" applyBorder="1" applyAlignment="1" applyProtection="1">
      <alignment horizontal="center"/>
      <protection locked="0"/>
    </xf>
    <xf numFmtId="0" fontId="45" fillId="0" borderId="15" xfId="1" applyFont="1" applyFill="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4" borderId="0" xfId="0" applyNumberFormat="1" applyFont="1" applyFill="1" applyBorder="1" applyAlignment="1" applyProtection="1">
      <alignment horizontal="center"/>
      <protection locked="0"/>
    </xf>
    <xf numFmtId="0" fontId="45" fillId="0" borderId="11" xfId="0" applyNumberFormat="1" applyFont="1" applyFill="1" applyBorder="1" applyAlignment="1" applyProtection="1">
      <alignment horizontal="center"/>
      <protection locked="0"/>
    </xf>
    <xf numFmtId="0" fontId="45" fillId="0" borderId="12" xfId="0" applyNumberFormat="1" applyFont="1" applyFill="1" applyBorder="1" applyAlignment="1" applyProtection="1">
      <alignment horizontal="center"/>
      <protection locked="0"/>
    </xf>
    <xf numFmtId="0" fontId="45" fillId="0" borderId="5" xfId="0" applyNumberFormat="1" applyFont="1" applyFill="1" applyBorder="1" applyAlignment="1" applyProtection="1">
      <alignment horizontal="center"/>
      <protection locked="0"/>
    </xf>
    <xf numFmtId="0" fontId="45" fillId="0" borderId="1" xfId="7" applyNumberFormat="1" applyFont="1" applyFill="1" applyBorder="1" applyAlignment="1">
      <alignment horizontal="center"/>
    </xf>
    <xf numFmtId="0" fontId="45" fillId="0" borderId="14" xfId="7" applyNumberFormat="1" applyFont="1" applyFill="1" applyBorder="1" applyAlignment="1">
      <alignment horizontal="center"/>
    </xf>
    <xf numFmtId="0" fontId="45" fillId="0" borderId="15" xfId="7" applyNumberFormat="1" applyFont="1" applyFill="1" applyBorder="1" applyAlignment="1">
      <alignment horizontal="center"/>
    </xf>
    <xf numFmtId="0" fontId="45" fillId="4" borderId="0" xfId="7" applyNumberFormat="1" applyFont="1" applyFill="1" applyBorder="1" applyAlignment="1">
      <alignment horizontal="center"/>
    </xf>
    <xf numFmtId="0" fontId="45" fillId="0" borderId="11" xfId="7" applyNumberFormat="1" applyFont="1" applyFill="1" applyBorder="1" applyAlignment="1">
      <alignment horizontal="center"/>
    </xf>
    <xf numFmtId="0" fontId="45" fillId="0" borderId="12" xfId="7" applyNumberFormat="1" applyFont="1" applyFill="1" applyBorder="1" applyAlignment="1">
      <alignment horizontal="center"/>
    </xf>
    <xf numFmtId="0" fontId="45" fillId="0" borderId="5" xfId="7" applyNumberFormat="1" applyFont="1" applyFill="1" applyBorder="1" applyAlignment="1">
      <alignment horizontal="center"/>
    </xf>
  </cellXfs>
  <cellStyles count="851">
    <cellStyle name="20 % – uthevingsfarge 2" xfId="844" builtinId="34"/>
    <cellStyle name="40% - uthevingsfarge 4 2" xfId="38" xr:uid="{00000000-0005-0000-0000-000001000000}"/>
    <cellStyle name="40% - uthevingsfarge 4 2 10" xfId="771" xr:uid="{00000000-0005-0000-0000-000002000000}"/>
    <cellStyle name="40% - uthevingsfarge 4 2 2" xfId="80" xr:uid="{00000000-0005-0000-0000-000003000000}"/>
    <cellStyle name="40% - uthevingsfarge 4 2 2 2" xfId="173" xr:uid="{00000000-0005-0000-0000-000004000000}"/>
    <cellStyle name="40% - uthevingsfarge 4 2 2 3" xfId="263" xr:uid="{00000000-0005-0000-0000-000005000000}"/>
    <cellStyle name="40% - uthevingsfarge 4 2 2 4" xfId="353" xr:uid="{00000000-0005-0000-0000-000006000000}"/>
    <cellStyle name="40% - uthevingsfarge 4 2 2 5" xfId="443" xr:uid="{00000000-0005-0000-0000-000007000000}"/>
    <cellStyle name="40% - uthevingsfarge 4 2 2 6" xfId="533" xr:uid="{00000000-0005-0000-0000-000008000000}"/>
    <cellStyle name="40% - uthevingsfarge 4 2 2 7" xfId="623" xr:uid="{00000000-0005-0000-0000-000009000000}"/>
    <cellStyle name="40% - uthevingsfarge 4 2 2 8" xfId="713" xr:uid="{00000000-0005-0000-0000-00000A000000}"/>
    <cellStyle name="40% - uthevingsfarge 4 2 2 9" xfId="810" xr:uid="{00000000-0005-0000-0000-00000B000000}"/>
    <cellStyle name="40% - uthevingsfarge 4 2 3" xfId="136" xr:uid="{00000000-0005-0000-0000-00000C000000}"/>
    <cellStyle name="40% - uthevingsfarge 4 2 4" xfId="226" xr:uid="{00000000-0005-0000-0000-00000D000000}"/>
    <cellStyle name="40% - uthevingsfarge 4 2 5" xfId="316" xr:uid="{00000000-0005-0000-0000-00000E000000}"/>
    <cellStyle name="40% - uthevingsfarge 4 2 6" xfId="406" xr:uid="{00000000-0005-0000-0000-00000F000000}"/>
    <cellStyle name="40% - uthevingsfarge 4 2 7" xfId="496" xr:uid="{00000000-0005-0000-0000-000010000000}"/>
    <cellStyle name="40% - uthevingsfarge 4 2 8" xfId="586" xr:uid="{00000000-0005-0000-0000-000011000000}"/>
    <cellStyle name="40% - uthevingsfarge 4 2 9" xfId="676" xr:uid="{00000000-0005-0000-0000-000012000000}"/>
    <cellStyle name="Hyperkobling" xfId="3" builtinId="8"/>
    <cellStyle name="Komma" xfId="2" builtinId="3"/>
    <cellStyle name="Komma 2" xfId="847" xr:uid="{00000000-0005-0000-0000-000015000000}"/>
    <cellStyle name="Komma 2 3" xfId="849" xr:uid="{0D7BB789-C0BC-4F58-B366-11FD845789ED}"/>
    <cellStyle name="Merknad 2" xfId="94" xr:uid="{00000000-0005-0000-0000-000016000000}"/>
    <cellStyle name="Normal" xfId="0" builtinId="0"/>
    <cellStyle name="Normal 10" xfId="31" xr:uid="{00000000-0005-0000-0000-000018000000}"/>
    <cellStyle name="Normal 10 10" xfId="670" xr:uid="{00000000-0005-0000-0000-000019000000}"/>
    <cellStyle name="Normal 10 11" xfId="765" xr:uid="{00000000-0005-0000-0000-00001A000000}"/>
    <cellStyle name="Normal 10 2" xfId="53" xr:uid="{00000000-0005-0000-0000-00001B000000}"/>
    <cellStyle name="Normal 10 2 10" xfId="785" xr:uid="{00000000-0005-0000-0000-00001C000000}"/>
    <cellStyle name="Normal 10 2 2" xfId="93" xr:uid="{00000000-0005-0000-0000-00001D000000}"/>
    <cellStyle name="Normal 10 2 2 10" xfId="823" xr:uid="{00000000-0005-0000-0000-00001E000000}"/>
    <cellStyle name="Normal 10 2 2 2" xfId="6" xr:uid="{00000000-0005-0000-0000-00001F000000}"/>
    <cellStyle name="Normal 10 2 2 2 2" xfId="116" xr:uid="{00000000-0005-0000-0000-000020000000}"/>
    <cellStyle name="Normal 10 2 2 3" xfId="186" xr:uid="{00000000-0005-0000-0000-000021000000}"/>
    <cellStyle name="Normal 10 2 2 4" xfId="276" xr:uid="{00000000-0005-0000-0000-000022000000}"/>
    <cellStyle name="Normal 10 2 2 5" xfId="366" xr:uid="{00000000-0005-0000-0000-000023000000}"/>
    <cellStyle name="Normal 10 2 2 6" xfId="456" xr:uid="{00000000-0005-0000-0000-000024000000}"/>
    <cellStyle name="Normal 10 2 2 7" xfId="546" xr:uid="{00000000-0005-0000-0000-000025000000}"/>
    <cellStyle name="Normal 10 2 2 8" xfId="636" xr:uid="{00000000-0005-0000-0000-000026000000}"/>
    <cellStyle name="Normal 10 2 2 9" xfId="726" xr:uid="{00000000-0005-0000-0000-000027000000}"/>
    <cellStyle name="Normal 10 2 3" xfId="149" xr:uid="{00000000-0005-0000-0000-000028000000}"/>
    <cellStyle name="Normal 10 2 4" xfId="239" xr:uid="{00000000-0005-0000-0000-000029000000}"/>
    <cellStyle name="Normal 10 2 5" xfId="329" xr:uid="{00000000-0005-0000-0000-00002A000000}"/>
    <cellStyle name="Normal 10 2 6" xfId="419" xr:uid="{00000000-0005-0000-0000-00002B000000}"/>
    <cellStyle name="Normal 10 2 7" xfId="509" xr:uid="{00000000-0005-0000-0000-00002C000000}"/>
    <cellStyle name="Normal 10 2 8" xfId="599" xr:uid="{00000000-0005-0000-0000-00002D000000}"/>
    <cellStyle name="Normal 10 2 9" xfId="689" xr:uid="{00000000-0005-0000-0000-00002E000000}"/>
    <cellStyle name="Normal 10 3" xfId="74" xr:uid="{00000000-0005-0000-0000-00002F000000}"/>
    <cellStyle name="Normal 10 3 2" xfId="167" xr:uid="{00000000-0005-0000-0000-000030000000}"/>
    <cellStyle name="Normal 10 3 3" xfId="257" xr:uid="{00000000-0005-0000-0000-000031000000}"/>
    <cellStyle name="Normal 10 3 4" xfId="347" xr:uid="{00000000-0005-0000-0000-000032000000}"/>
    <cellStyle name="Normal 10 3 5" xfId="437" xr:uid="{00000000-0005-0000-0000-000033000000}"/>
    <cellStyle name="Normal 10 3 6" xfId="527" xr:uid="{00000000-0005-0000-0000-000034000000}"/>
    <cellStyle name="Normal 10 3 7" xfId="617" xr:uid="{00000000-0005-0000-0000-000035000000}"/>
    <cellStyle name="Normal 10 3 8" xfId="707" xr:uid="{00000000-0005-0000-0000-000036000000}"/>
    <cellStyle name="Normal 10 3 9" xfId="804" xr:uid="{00000000-0005-0000-0000-000037000000}"/>
    <cellStyle name="Normal 10 4" xfId="130" xr:uid="{00000000-0005-0000-0000-000038000000}"/>
    <cellStyle name="Normal 10 5" xfId="220" xr:uid="{00000000-0005-0000-0000-000039000000}"/>
    <cellStyle name="Normal 10 6" xfId="310" xr:uid="{00000000-0005-0000-0000-00003A000000}"/>
    <cellStyle name="Normal 10 7" xfId="400" xr:uid="{00000000-0005-0000-0000-00003B000000}"/>
    <cellStyle name="Normal 10 8" xfId="490" xr:uid="{00000000-0005-0000-0000-00003C000000}"/>
    <cellStyle name="Normal 10 9" xfId="580" xr:uid="{00000000-0005-0000-0000-00003D000000}"/>
    <cellStyle name="Normal 11" xfId="35" xr:uid="{00000000-0005-0000-0000-00003E000000}"/>
    <cellStyle name="Normal 11 10" xfId="673" xr:uid="{00000000-0005-0000-0000-00003F000000}"/>
    <cellStyle name="Normal 11 11" xfId="768" xr:uid="{00000000-0005-0000-0000-000040000000}"/>
    <cellStyle name="Normal 11 2" xfId="57" xr:uid="{00000000-0005-0000-0000-000041000000}"/>
    <cellStyle name="Normal 11 2 10" xfId="788" xr:uid="{00000000-0005-0000-0000-000042000000}"/>
    <cellStyle name="Normal 11 2 2" xfId="97" xr:uid="{00000000-0005-0000-0000-000043000000}"/>
    <cellStyle name="Normal 11 2 2 2" xfId="189" xr:uid="{00000000-0005-0000-0000-000044000000}"/>
    <cellStyle name="Normal 11 2 2 3" xfId="279" xr:uid="{00000000-0005-0000-0000-000045000000}"/>
    <cellStyle name="Normal 11 2 2 4" xfId="369" xr:uid="{00000000-0005-0000-0000-000046000000}"/>
    <cellStyle name="Normal 11 2 2 5" xfId="459" xr:uid="{00000000-0005-0000-0000-000047000000}"/>
    <cellStyle name="Normal 11 2 2 6" xfId="549" xr:uid="{00000000-0005-0000-0000-000048000000}"/>
    <cellStyle name="Normal 11 2 2 7" xfId="639" xr:uid="{00000000-0005-0000-0000-000049000000}"/>
    <cellStyle name="Normal 11 2 2 8" xfId="729" xr:uid="{00000000-0005-0000-0000-00004A000000}"/>
    <cellStyle name="Normal 11 2 2 9" xfId="826" xr:uid="{00000000-0005-0000-0000-00004B000000}"/>
    <cellStyle name="Normal 11 2 3" xfId="152" xr:uid="{00000000-0005-0000-0000-00004C000000}"/>
    <cellStyle name="Normal 11 2 4" xfId="242" xr:uid="{00000000-0005-0000-0000-00004D000000}"/>
    <cellStyle name="Normal 11 2 5" xfId="332" xr:uid="{00000000-0005-0000-0000-00004E000000}"/>
    <cellStyle name="Normal 11 2 6" xfId="422" xr:uid="{00000000-0005-0000-0000-00004F000000}"/>
    <cellStyle name="Normal 11 2 7" xfId="512" xr:uid="{00000000-0005-0000-0000-000050000000}"/>
    <cellStyle name="Normal 11 2 8" xfId="602" xr:uid="{00000000-0005-0000-0000-000051000000}"/>
    <cellStyle name="Normal 11 2 9" xfId="692" xr:uid="{00000000-0005-0000-0000-000052000000}"/>
    <cellStyle name="Normal 11 3" xfId="77" xr:uid="{00000000-0005-0000-0000-000053000000}"/>
    <cellStyle name="Normal 11 3 2" xfId="170" xr:uid="{00000000-0005-0000-0000-000054000000}"/>
    <cellStyle name="Normal 11 3 3" xfId="260" xr:uid="{00000000-0005-0000-0000-000055000000}"/>
    <cellStyle name="Normal 11 3 4" xfId="350" xr:uid="{00000000-0005-0000-0000-000056000000}"/>
    <cellStyle name="Normal 11 3 5" xfId="440" xr:uid="{00000000-0005-0000-0000-000057000000}"/>
    <cellStyle name="Normal 11 3 6" xfId="530" xr:uid="{00000000-0005-0000-0000-000058000000}"/>
    <cellStyle name="Normal 11 3 7" xfId="620" xr:uid="{00000000-0005-0000-0000-000059000000}"/>
    <cellStyle name="Normal 11 3 8" xfId="710" xr:uid="{00000000-0005-0000-0000-00005A000000}"/>
    <cellStyle name="Normal 11 3 9" xfId="807" xr:uid="{00000000-0005-0000-0000-00005B000000}"/>
    <cellStyle name="Normal 11 4" xfId="133" xr:uid="{00000000-0005-0000-0000-00005C000000}"/>
    <cellStyle name="Normal 11 5" xfId="223" xr:uid="{00000000-0005-0000-0000-00005D000000}"/>
    <cellStyle name="Normal 11 6" xfId="313" xr:uid="{00000000-0005-0000-0000-00005E000000}"/>
    <cellStyle name="Normal 11 7" xfId="403" xr:uid="{00000000-0005-0000-0000-00005F000000}"/>
    <cellStyle name="Normal 11 8" xfId="493" xr:uid="{00000000-0005-0000-0000-000060000000}"/>
    <cellStyle name="Normal 11 9" xfId="583" xr:uid="{00000000-0005-0000-0000-000061000000}"/>
    <cellStyle name="Normal 12" xfId="100" xr:uid="{00000000-0005-0000-0000-000062000000}"/>
    <cellStyle name="Normal 12 2" xfId="192" xr:uid="{00000000-0005-0000-0000-000063000000}"/>
    <cellStyle name="Normal 12 3" xfId="282" xr:uid="{00000000-0005-0000-0000-000064000000}"/>
    <cellStyle name="Normal 12 4" xfId="372" xr:uid="{00000000-0005-0000-0000-000065000000}"/>
    <cellStyle name="Normal 12 5" xfId="462" xr:uid="{00000000-0005-0000-0000-000066000000}"/>
    <cellStyle name="Normal 12 6" xfId="552" xr:uid="{00000000-0005-0000-0000-000067000000}"/>
    <cellStyle name="Normal 12 7" xfId="642" xr:uid="{00000000-0005-0000-0000-000068000000}"/>
    <cellStyle name="Normal 12 8" xfId="732" xr:uid="{00000000-0005-0000-0000-000069000000}"/>
    <cellStyle name="Normal 12 9" xfId="829" xr:uid="{00000000-0005-0000-0000-00006A000000}"/>
    <cellStyle name="Normal 13" xfId="103" xr:uid="{00000000-0005-0000-0000-00006B000000}"/>
    <cellStyle name="Normal 13 2" xfId="195" xr:uid="{00000000-0005-0000-0000-00006C000000}"/>
    <cellStyle name="Normal 13 3" xfId="285" xr:uid="{00000000-0005-0000-0000-00006D000000}"/>
    <cellStyle name="Normal 13 4" xfId="375" xr:uid="{00000000-0005-0000-0000-00006E000000}"/>
    <cellStyle name="Normal 13 5" xfId="465" xr:uid="{00000000-0005-0000-0000-00006F000000}"/>
    <cellStyle name="Normal 13 6" xfId="555" xr:uid="{00000000-0005-0000-0000-000070000000}"/>
    <cellStyle name="Normal 13 7" xfId="645" xr:uid="{00000000-0005-0000-0000-000071000000}"/>
    <cellStyle name="Normal 13 8" xfId="735" xr:uid="{00000000-0005-0000-0000-000072000000}"/>
    <cellStyle name="Normal 13 9" xfId="832" xr:uid="{00000000-0005-0000-0000-000073000000}"/>
    <cellStyle name="Normal 14" xfId="106" xr:uid="{00000000-0005-0000-0000-000074000000}"/>
    <cellStyle name="Normal 14 2" xfId="198" xr:uid="{00000000-0005-0000-0000-000075000000}"/>
    <cellStyle name="Normal 14 3" xfId="288" xr:uid="{00000000-0005-0000-0000-000076000000}"/>
    <cellStyle name="Normal 14 4" xfId="378" xr:uid="{00000000-0005-0000-0000-000077000000}"/>
    <cellStyle name="Normal 14 5" xfId="468" xr:uid="{00000000-0005-0000-0000-000078000000}"/>
    <cellStyle name="Normal 14 6" xfId="558" xr:uid="{00000000-0005-0000-0000-000079000000}"/>
    <cellStyle name="Normal 14 7" xfId="648" xr:uid="{00000000-0005-0000-0000-00007A000000}"/>
    <cellStyle name="Normal 14 8" xfId="738" xr:uid="{00000000-0005-0000-0000-00007B000000}"/>
    <cellStyle name="Normal 14 9" xfId="835" xr:uid="{00000000-0005-0000-0000-00007C000000}"/>
    <cellStyle name="Normal 15" xfId="109" xr:uid="{00000000-0005-0000-0000-00007D000000}"/>
    <cellStyle name="Normal 15 2" xfId="201" xr:uid="{00000000-0005-0000-0000-00007E000000}"/>
    <cellStyle name="Normal 15 3" xfId="291" xr:uid="{00000000-0005-0000-0000-00007F000000}"/>
    <cellStyle name="Normal 15 4" xfId="381" xr:uid="{00000000-0005-0000-0000-000080000000}"/>
    <cellStyle name="Normal 15 5" xfId="471" xr:uid="{00000000-0005-0000-0000-000081000000}"/>
    <cellStyle name="Normal 15 6" xfId="561" xr:uid="{00000000-0005-0000-0000-000082000000}"/>
    <cellStyle name="Normal 15 7" xfId="651" xr:uid="{00000000-0005-0000-0000-000083000000}"/>
    <cellStyle name="Normal 15 8" xfId="741" xr:uid="{00000000-0005-0000-0000-000084000000}"/>
    <cellStyle name="Normal 15 9" xfId="838" xr:uid="{00000000-0005-0000-0000-000085000000}"/>
    <cellStyle name="Normal 16" xfId="112" xr:uid="{00000000-0005-0000-0000-000086000000}"/>
    <cellStyle name="Normal 16 2" xfId="204" xr:uid="{00000000-0005-0000-0000-000087000000}"/>
    <cellStyle name="Normal 16 3" xfId="294" xr:uid="{00000000-0005-0000-0000-000088000000}"/>
    <cellStyle name="Normal 16 4" xfId="384" xr:uid="{00000000-0005-0000-0000-000089000000}"/>
    <cellStyle name="Normal 16 5" xfId="474" xr:uid="{00000000-0005-0000-0000-00008A000000}"/>
    <cellStyle name="Normal 16 6" xfId="564" xr:uid="{00000000-0005-0000-0000-00008B000000}"/>
    <cellStyle name="Normal 16 7" xfId="654" xr:uid="{00000000-0005-0000-0000-00008C000000}"/>
    <cellStyle name="Normal 16 8" xfId="744" xr:uid="{00000000-0005-0000-0000-00008D000000}"/>
    <cellStyle name="Normal 16 9" xfId="841" xr:uid="{00000000-0005-0000-0000-00008E000000}"/>
    <cellStyle name="Normal 17" xfId="8" xr:uid="{00000000-0005-0000-0000-00008F000000}"/>
    <cellStyle name="Normal 18" xfId="10" xr:uid="{00000000-0005-0000-0000-000090000000}"/>
    <cellStyle name="Normal 18 2" xfId="850" xr:uid="{984FF574-76A1-4467-B17F-6EA4208C11C2}"/>
    <cellStyle name="Normal 19" xfId="117" xr:uid="{00000000-0005-0000-0000-000091000000}"/>
    <cellStyle name="Normal 2" xfId="1" xr:uid="{00000000-0005-0000-0000-000092000000}"/>
    <cellStyle name="Normal 2 2" xfId="7" xr:uid="{00000000-0005-0000-0000-000093000000}"/>
    <cellStyle name="Normal 2 3" xfId="20" xr:uid="{00000000-0005-0000-0000-000094000000}"/>
    <cellStyle name="Normal 2 4" xfId="39" xr:uid="{00000000-0005-0000-0000-000095000000}"/>
    <cellStyle name="Normal 2 5" xfId="60" xr:uid="{00000000-0005-0000-0000-000096000000}"/>
    <cellStyle name="Normal 20" xfId="207" xr:uid="{00000000-0005-0000-0000-000097000000}"/>
    <cellStyle name="Normal 21" xfId="297" xr:uid="{00000000-0005-0000-0000-000098000000}"/>
    <cellStyle name="Normal 22" xfId="387" xr:uid="{00000000-0005-0000-0000-000099000000}"/>
    <cellStyle name="Normal 23" xfId="477" xr:uid="{00000000-0005-0000-0000-00009A000000}"/>
    <cellStyle name="Normal 24" xfId="567" xr:uid="{00000000-0005-0000-0000-00009B000000}"/>
    <cellStyle name="Normal 25" xfId="657" xr:uid="{00000000-0005-0000-0000-00009C000000}"/>
    <cellStyle name="Normal 26" xfId="747" xr:uid="{00000000-0005-0000-0000-00009D000000}"/>
    <cellStyle name="Normal 3" xfId="4" xr:uid="{00000000-0005-0000-0000-00009E000000}"/>
    <cellStyle name="Normal 3 10" xfId="104" xr:uid="{00000000-0005-0000-0000-00009F000000}"/>
    <cellStyle name="Normal 3 10 2" xfId="196" xr:uid="{00000000-0005-0000-0000-0000A0000000}"/>
    <cellStyle name="Normal 3 10 3" xfId="286" xr:uid="{00000000-0005-0000-0000-0000A1000000}"/>
    <cellStyle name="Normal 3 10 4" xfId="376" xr:uid="{00000000-0005-0000-0000-0000A2000000}"/>
    <cellStyle name="Normal 3 10 5" xfId="466" xr:uid="{00000000-0005-0000-0000-0000A3000000}"/>
    <cellStyle name="Normal 3 10 6" xfId="556" xr:uid="{00000000-0005-0000-0000-0000A4000000}"/>
    <cellStyle name="Normal 3 10 7" xfId="646" xr:uid="{00000000-0005-0000-0000-0000A5000000}"/>
    <cellStyle name="Normal 3 10 8" xfId="736" xr:uid="{00000000-0005-0000-0000-0000A6000000}"/>
    <cellStyle name="Normal 3 10 9" xfId="833" xr:uid="{00000000-0005-0000-0000-0000A7000000}"/>
    <cellStyle name="Normal 3 11" xfId="107" xr:uid="{00000000-0005-0000-0000-0000A8000000}"/>
    <cellStyle name="Normal 3 11 2" xfId="199" xr:uid="{00000000-0005-0000-0000-0000A9000000}"/>
    <cellStyle name="Normal 3 11 3" xfId="289" xr:uid="{00000000-0005-0000-0000-0000AA000000}"/>
    <cellStyle name="Normal 3 11 4" xfId="379" xr:uid="{00000000-0005-0000-0000-0000AB000000}"/>
    <cellStyle name="Normal 3 11 5" xfId="469" xr:uid="{00000000-0005-0000-0000-0000AC000000}"/>
    <cellStyle name="Normal 3 11 6" xfId="559" xr:uid="{00000000-0005-0000-0000-0000AD000000}"/>
    <cellStyle name="Normal 3 11 7" xfId="649" xr:uid="{00000000-0005-0000-0000-0000AE000000}"/>
    <cellStyle name="Normal 3 11 8" xfId="739" xr:uid="{00000000-0005-0000-0000-0000AF000000}"/>
    <cellStyle name="Normal 3 11 9" xfId="836" xr:uid="{00000000-0005-0000-0000-0000B0000000}"/>
    <cellStyle name="Normal 3 12" xfId="110" xr:uid="{00000000-0005-0000-0000-0000B1000000}"/>
    <cellStyle name="Normal 3 12 2" xfId="202" xr:uid="{00000000-0005-0000-0000-0000B2000000}"/>
    <cellStyle name="Normal 3 12 3" xfId="292" xr:uid="{00000000-0005-0000-0000-0000B3000000}"/>
    <cellStyle name="Normal 3 12 4" xfId="382" xr:uid="{00000000-0005-0000-0000-0000B4000000}"/>
    <cellStyle name="Normal 3 12 5" xfId="472" xr:uid="{00000000-0005-0000-0000-0000B5000000}"/>
    <cellStyle name="Normal 3 12 6" xfId="562" xr:uid="{00000000-0005-0000-0000-0000B6000000}"/>
    <cellStyle name="Normal 3 12 7" xfId="652" xr:uid="{00000000-0005-0000-0000-0000B7000000}"/>
    <cellStyle name="Normal 3 12 8" xfId="742" xr:uid="{00000000-0005-0000-0000-0000B8000000}"/>
    <cellStyle name="Normal 3 12 9" xfId="839" xr:uid="{00000000-0005-0000-0000-0000B9000000}"/>
    <cellStyle name="Normal 3 13" xfId="113" xr:uid="{00000000-0005-0000-0000-0000BA000000}"/>
    <cellStyle name="Normal 3 13 2" xfId="205" xr:uid="{00000000-0005-0000-0000-0000BB000000}"/>
    <cellStyle name="Normal 3 13 3" xfId="295" xr:uid="{00000000-0005-0000-0000-0000BC000000}"/>
    <cellStyle name="Normal 3 13 4" xfId="385" xr:uid="{00000000-0005-0000-0000-0000BD000000}"/>
    <cellStyle name="Normal 3 13 5" xfId="475" xr:uid="{00000000-0005-0000-0000-0000BE000000}"/>
    <cellStyle name="Normal 3 13 6" xfId="565" xr:uid="{00000000-0005-0000-0000-0000BF000000}"/>
    <cellStyle name="Normal 3 13 7" xfId="655" xr:uid="{00000000-0005-0000-0000-0000C0000000}"/>
    <cellStyle name="Normal 3 13 8" xfId="745" xr:uid="{00000000-0005-0000-0000-0000C1000000}"/>
    <cellStyle name="Normal 3 13 9" xfId="842" xr:uid="{00000000-0005-0000-0000-0000C2000000}"/>
    <cellStyle name="Normal 3 14" xfId="11" xr:uid="{00000000-0005-0000-0000-0000C3000000}"/>
    <cellStyle name="Normal 3 15" xfId="118" xr:uid="{00000000-0005-0000-0000-0000C4000000}"/>
    <cellStyle name="Normal 3 16" xfId="208" xr:uid="{00000000-0005-0000-0000-0000C5000000}"/>
    <cellStyle name="Normal 3 17" xfId="298" xr:uid="{00000000-0005-0000-0000-0000C6000000}"/>
    <cellStyle name="Normal 3 18" xfId="388" xr:uid="{00000000-0005-0000-0000-0000C7000000}"/>
    <cellStyle name="Normal 3 19" xfId="478" xr:uid="{00000000-0005-0000-0000-0000C8000000}"/>
    <cellStyle name="Normal 3 2" xfId="23" xr:uid="{00000000-0005-0000-0000-0000C9000000}"/>
    <cellStyle name="Normal 3 2 10" xfId="662" xr:uid="{00000000-0005-0000-0000-0000CA000000}"/>
    <cellStyle name="Normal 3 2 11" xfId="757" xr:uid="{00000000-0005-0000-0000-0000CB000000}"/>
    <cellStyle name="Normal 3 2 2" xfId="45" xr:uid="{00000000-0005-0000-0000-0000CC000000}"/>
    <cellStyle name="Normal 3 2 2 10" xfId="777" xr:uid="{00000000-0005-0000-0000-0000CD000000}"/>
    <cellStyle name="Normal 3 2 2 2" xfId="85" xr:uid="{00000000-0005-0000-0000-0000CE000000}"/>
    <cellStyle name="Normal 3 2 2 2 2" xfId="178" xr:uid="{00000000-0005-0000-0000-0000CF000000}"/>
    <cellStyle name="Normal 3 2 2 2 3" xfId="268" xr:uid="{00000000-0005-0000-0000-0000D0000000}"/>
    <cellStyle name="Normal 3 2 2 2 4" xfId="358" xr:uid="{00000000-0005-0000-0000-0000D1000000}"/>
    <cellStyle name="Normal 3 2 2 2 5" xfId="448" xr:uid="{00000000-0005-0000-0000-0000D2000000}"/>
    <cellStyle name="Normal 3 2 2 2 6" xfId="538" xr:uid="{00000000-0005-0000-0000-0000D3000000}"/>
    <cellStyle name="Normal 3 2 2 2 7" xfId="628" xr:uid="{00000000-0005-0000-0000-0000D4000000}"/>
    <cellStyle name="Normal 3 2 2 2 8" xfId="718" xr:uid="{00000000-0005-0000-0000-0000D5000000}"/>
    <cellStyle name="Normal 3 2 2 2 9" xfId="815" xr:uid="{00000000-0005-0000-0000-0000D6000000}"/>
    <cellStyle name="Normal 3 2 2 3" xfId="141" xr:uid="{00000000-0005-0000-0000-0000D7000000}"/>
    <cellStyle name="Normal 3 2 2 4" xfId="231" xr:uid="{00000000-0005-0000-0000-0000D8000000}"/>
    <cellStyle name="Normal 3 2 2 5" xfId="321" xr:uid="{00000000-0005-0000-0000-0000D9000000}"/>
    <cellStyle name="Normal 3 2 2 6" xfId="411" xr:uid="{00000000-0005-0000-0000-0000DA000000}"/>
    <cellStyle name="Normal 3 2 2 7" xfId="501" xr:uid="{00000000-0005-0000-0000-0000DB000000}"/>
    <cellStyle name="Normal 3 2 2 8" xfId="591" xr:uid="{00000000-0005-0000-0000-0000DC000000}"/>
    <cellStyle name="Normal 3 2 2 9" xfId="681" xr:uid="{00000000-0005-0000-0000-0000DD000000}"/>
    <cellStyle name="Normal 3 2 3" xfId="66" xr:uid="{00000000-0005-0000-0000-0000DE000000}"/>
    <cellStyle name="Normal 3 2 3 2" xfId="159" xr:uid="{00000000-0005-0000-0000-0000DF000000}"/>
    <cellStyle name="Normal 3 2 3 3" xfId="249" xr:uid="{00000000-0005-0000-0000-0000E0000000}"/>
    <cellStyle name="Normal 3 2 3 4" xfId="339" xr:uid="{00000000-0005-0000-0000-0000E1000000}"/>
    <cellStyle name="Normal 3 2 3 5" xfId="429" xr:uid="{00000000-0005-0000-0000-0000E2000000}"/>
    <cellStyle name="Normal 3 2 3 6" xfId="519" xr:uid="{00000000-0005-0000-0000-0000E3000000}"/>
    <cellStyle name="Normal 3 2 3 7" xfId="609" xr:uid="{00000000-0005-0000-0000-0000E4000000}"/>
    <cellStyle name="Normal 3 2 3 8" xfId="699" xr:uid="{00000000-0005-0000-0000-0000E5000000}"/>
    <cellStyle name="Normal 3 2 3 9" xfId="796" xr:uid="{00000000-0005-0000-0000-0000E6000000}"/>
    <cellStyle name="Normal 3 2 4" xfId="122" xr:uid="{00000000-0005-0000-0000-0000E7000000}"/>
    <cellStyle name="Normal 3 2 5" xfId="212" xr:uid="{00000000-0005-0000-0000-0000E8000000}"/>
    <cellStyle name="Normal 3 2 6" xfId="302" xr:uid="{00000000-0005-0000-0000-0000E9000000}"/>
    <cellStyle name="Normal 3 2 7" xfId="392" xr:uid="{00000000-0005-0000-0000-0000EA000000}"/>
    <cellStyle name="Normal 3 2 8" xfId="482" xr:uid="{00000000-0005-0000-0000-0000EB000000}"/>
    <cellStyle name="Normal 3 2 9" xfId="572" xr:uid="{00000000-0005-0000-0000-0000EC000000}"/>
    <cellStyle name="Normal 3 20" xfId="568" xr:uid="{00000000-0005-0000-0000-0000ED000000}"/>
    <cellStyle name="Normal 3 21" xfId="658" xr:uid="{00000000-0005-0000-0000-0000EE000000}"/>
    <cellStyle name="Normal 3 22" xfId="748" xr:uid="{00000000-0005-0000-0000-0000EF000000}"/>
    <cellStyle name="Normal 3 3" xfId="26" xr:uid="{00000000-0005-0000-0000-0000F0000000}"/>
    <cellStyle name="Normal 3 3 10" xfId="665" xr:uid="{00000000-0005-0000-0000-0000F1000000}"/>
    <cellStyle name="Normal 3 3 11" xfId="760" xr:uid="{00000000-0005-0000-0000-0000F2000000}"/>
    <cellStyle name="Normal 3 3 2" xfId="48" xr:uid="{00000000-0005-0000-0000-0000F3000000}"/>
    <cellStyle name="Normal 3 3 2 10" xfId="780" xr:uid="{00000000-0005-0000-0000-0000F4000000}"/>
    <cellStyle name="Normal 3 3 2 2" xfId="88" xr:uid="{00000000-0005-0000-0000-0000F5000000}"/>
    <cellStyle name="Normal 3 3 2 2 2" xfId="181" xr:uid="{00000000-0005-0000-0000-0000F6000000}"/>
    <cellStyle name="Normal 3 3 2 2 3" xfId="271" xr:uid="{00000000-0005-0000-0000-0000F7000000}"/>
    <cellStyle name="Normal 3 3 2 2 4" xfId="361" xr:uid="{00000000-0005-0000-0000-0000F8000000}"/>
    <cellStyle name="Normal 3 3 2 2 5" xfId="451" xr:uid="{00000000-0005-0000-0000-0000F9000000}"/>
    <cellStyle name="Normal 3 3 2 2 6" xfId="541" xr:uid="{00000000-0005-0000-0000-0000FA000000}"/>
    <cellStyle name="Normal 3 3 2 2 7" xfId="631" xr:uid="{00000000-0005-0000-0000-0000FB000000}"/>
    <cellStyle name="Normal 3 3 2 2 8" xfId="721" xr:uid="{00000000-0005-0000-0000-0000FC000000}"/>
    <cellStyle name="Normal 3 3 2 2 9" xfId="818" xr:uid="{00000000-0005-0000-0000-0000FD000000}"/>
    <cellStyle name="Normal 3 3 2 3" xfId="144" xr:uid="{00000000-0005-0000-0000-0000FE000000}"/>
    <cellStyle name="Normal 3 3 2 4" xfId="234" xr:uid="{00000000-0005-0000-0000-0000FF000000}"/>
    <cellStyle name="Normal 3 3 2 5" xfId="324" xr:uid="{00000000-0005-0000-0000-000000010000}"/>
    <cellStyle name="Normal 3 3 2 6" xfId="414" xr:uid="{00000000-0005-0000-0000-000001010000}"/>
    <cellStyle name="Normal 3 3 2 7" xfId="504" xr:uid="{00000000-0005-0000-0000-000002010000}"/>
    <cellStyle name="Normal 3 3 2 8" xfId="594" xr:uid="{00000000-0005-0000-0000-000003010000}"/>
    <cellStyle name="Normal 3 3 2 9" xfId="684" xr:uid="{00000000-0005-0000-0000-000004010000}"/>
    <cellStyle name="Normal 3 3 3" xfId="69" xr:uid="{00000000-0005-0000-0000-000005010000}"/>
    <cellStyle name="Normal 3 3 3 2" xfId="162" xr:uid="{00000000-0005-0000-0000-000006010000}"/>
    <cellStyle name="Normal 3 3 3 3" xfId="252" xr:uid="{00000000-0005-0000-0000-000007010000}"/>
    <cellStyle name="Normal 3 3 3 4" xfId="342" xr:uid="{00000000-0005-0000-0000-000008010000}"/>
    <cellStyle name="Normal 3 3 3 5" xfId="432" xr:uid="{00000000-0005-0000-0000-000009010000}"/>
    <cellStyle name="Normal 3 3 3 6" xfId="522" xr:uid="{00000000-0005-0000-0000-00000A010000}"/>
    <cellStyle name="Normal 3 3 3 7" xfId="612" xr:uid="{00000000-0005-0000-0000-00000B010000}"/>
    <cellStyle name="Normal 3 3 3 8" xfId="702" xr:uid="{00000000-0005-0000-0000-00000C010000}"/>
    <cellStyle name="Normal 3 3 3 9" xfId="799" xr:uid="{00000000-0005-0000-0000-00000D010000}"/>
    <cellStyle name="Normal 3 3 4" xfId="125" xr:uid="{00000000-0005-0000-0000-00000E010000}"/>
    <cellStyle name="Normal 3 3 5" xfId="215" xr:uid="{00000000-0005-0000-0000-00000F010000}"/>
    <cellStyle name="Normal 3 3 6" xfId="305" xr:uid="{00000000-0005-0000-0000-000010010000}"/>
    <cellStyle name="Normal 3 3 7" xfId="395" xr:uid="{00000000-0005-0000-0000-000011010000}"/>
    <cellStyle name="Normal 3 3 8" xfId="485" xr:uid="{00000000-0005-0000-0000-000012010000}"/>
    <cellStyle name="Normal 3 3 9" xfId="575" xr:uid="{00000000-0005-0000-0000-000013010000}"/>
    <cellStyle name="Normal 3 4" xfId="29" xr:uid="{00000000-0005-0000-0000-000014010000}"/>
    <cellStyle name="Normal 3 4 10" xfId="668" xr:uid="{00000000-0005-0000-0000-000015010000}"/>
    <cellStyle name="Normal 3 4 11" xfId="763" xr:uid="{00000000-0005-0000-0000-000016010000}"/>
    <cellStyle name="Normal 3 4 2" xfId="51" xr:uid="{00000000-0005-0000-0000-000017010000}"/>
    <cellStyle name="Normal 3 4 2 10" xfId="783" xr:uid="{00000000-0005-0000-0000-000018010000}"/>
    <cellStyle name="Normal 3 4 2 2" xfId="91" xr:uid="{00000000-0005-0000-0000-000019010000}"/>
    <cellStyle name="Normal 3 4 2 2 2" xfId="184" xr:uid="{00000000-0005-0000-0000-00001A010000}"/>
    <cellStyle name="Normal 3 4 2 2 3" xfId="274" xr:uid="{00000000-0005-0000-0000-00001B010000}"/>
    <cellStyle name="Normal 3 4 2 2 4" xfId="364" xr:uid="{00000000-0005-0000-0000-00001C010000}"/>
    <cellStyle name="Normal 3 4 2 2 5" xfId="454" xr:uid="{00000000-0005-0000-0000-00001D010000}"/>
    <cellStyle name="Normal 3 4 2 2 6" xfId="544" xr:uid="{00000000-0005-0000-0000-00001E010000}"/>
    <cellStyle name="Normal 3 4 2 2 7" xfId="634" xr:uid="{00000000-0005-0000-0000-00001F010000}"/>
    <cellStyle name="Normal 3 4 2 2 8" xfId="724" xr:uid="{00000000-0005-0000-0000-000020010000}"/>
    <cellStyle name="Normal 3 4 2 2 9" xfId="821" xr:uid="{00000000-0005-0000-0000-000021010000}"/>
    <cellStyle name="Normal 3 4 2 3" xfId="147" xr:uid="{00000000-0005-0000-0000-000022010000}"/>
    <cellStyle name="Normal 3 4 2 4" xfId="237" xr:uid="{00000000-0005-0000-0000-000023010000}"/>
    <cellStyle name="Normal 3 4 2 5" xfId="327" xr:uid="{00000000-0005-0000-0000-000024010000}"/>
    <cellStyle name="Normal 3 4 2 6" xfId="417" xr:uid="{00000000-0005-0000-0000-000025010000}"/>
    <cellStyle name="Normal 3 4 2 7" xfId="507" xr:uid="{00000000-0005-0000-0000-000026010000}"/>
    <cellStyle name="Normal 3 4 2 8" xfId="597" xr:uid="{00000000-0005-0000-0000-000027010000}"/>
    <cellStyle name="Normal 3 4 2 9" xfId="687" xr:uid="{00000000-0005-0000-0000-000028010000}"/>
    <cellStyle name="Normal 3 4 3" xfId="72" xr:uid="{00000000-0005-0000-0000-000029010000}"/>
    <cellStyle name="Normal 3 4 3 2" xfId="165" xr:uid="{00000000-0005-0000-0000-00002A010000}"/>
    <cellStyle name="Normal 3 4 3 3" xfId="255" xr:uid="{00000000-0005-0000-0000-00002B010000}"/>
    <cellStyle name="Normal 3 4 3 4" xfId="345" xr:uid="{00000000-0005-0000-0000-00002C010000}"/>
    <cellStyle name="Normal 3 4 3 5" xfId="435" xr:uid="{00000000-0005-0000-0000-00002D010000}"/>
    <cellStyle name="Normal 3 4 3 6" xfId="525" xr:uid="{00000000-0005-0000-0000-00002E010000}"/>
    <cellStyle name="Normal 3 4 3 7" xfId="615" xr:uid="{00000000-0005-0000-0000-00002F010000}"/>
    <cellStyle name="Normal 3 4 3 8" xfId="705" xr:uid="{00000000-0005-0000-0000-000030010000}"/>
    <cellStyle name="Normal 3 4 3 9" xfId="802" xr:uid="{00000000-0005-0000-0000-000031010000}"/>
    <cellStyle name="Normal 3 4 4" xfId="128" xr:uid="{00000000-0005-0000-0000-000032010000}"/>
    <cellStyle name="Normal 3 4 5" xfId="218" xr:uid="{00000000-0005-0000-0000-000033010000}"/>
    <cellStyle name="Normal 3 4 6" xfId="308" xr:uid="{00000000-0005-0000-0000-000034010000}"/>
    <cellStyle name="Normal 3 4 7" xfId="398" xr:uid="{00000000-0005-0000-0000-000035010000}"/>
    <cellStyle name="Normal 3 4 8" xfId="488" xr:uid="{00000000-0005-0000-0000-000036010000}"/>
    <cellStyle name="Normal 3 4 9" xfId="578" xr:uid="{00000000-0005-0000-0000-000037010000}"/>
    <cellStyle name="Normal 3 5" xfId="33" xr:uid="{00000000-0005-0000-0000-000038010000}"/>
    <cellStyle name="Normal 3 5 10" xfId="671" xr:uid="{00000000-0005-0000-0000-000039010000}"/>
    <cellStyle name="Normal 3 5 11" xfId="766" xr:uid="{00000000-0005-0000-0000-00003A010000}"/>
    <cellStyle name="Normal 3 5 2" xfId="55" xr:uid="{00000000-0005-0000-0000-00003B010000}"/>
    <cellStyle name="Normal 3 5 2 10" xfId="786" xr:uid="{00000000-0005-0000-0000-00003C010000}"/>
    <cellStyle name="Normal 3 5 2 2" xfId="95" xr:uid="{00000000-0005-0000-0000-00003D010000}"/>
    <cellStyle name="Normal 3 5 2 2 2" xfId="187" xr:uid="{00000000-0005-0000-0000-00003E010000}"/>
    <cellStyle name="Normal 3 5 2 2 3" xfId="277" xr:uid="{00000000-0005-0000-0000-00003F010000}"/>
    <cellStyle name="Normal 3 5 2 2 4" xfId="367" xr:uid="{00000000-0005-0000-0000-000040010000}"/>
    <cellStyle name="Normal 3 5 2 2 5" xfId="457" xr:uid="{00000000-0005-0000-0000-000041010000}"/>
    <cellStyle name="Normal 3 5 2 2 6" xfId="547" xr:uid="{00000000-0005-0000-0000-000042010000}"/>
    <cellStyle name="Normal 3 5 2 2 7" xfId="637" xr:uid="{00000000-0005-0000-0000-000043010000}"/>
    <cellStyle name="Normal 3 5 2 2 8" xfId="727" xr:uid="{00000000-0005-0000-0000-000044010000}"/>
    <cellStyle name="Normal 3 5 2 2 9" xfId="824" xr:uid="{00000000-0005-0000-0000-000045010000}"/>
    <cellStyle name="Normal 3 5 2 3" xfId="150" xr:uid="{00000000-0005-0000-0000-000046010000}"/>
    <cellStyle name="Normal 3 5 2 4" xfId="240" xr:uid="{00000000-0005-0000-0000-000047010000}"/>
    <cellStyle name="Normal 3 5 2 5" xfId="330" xr:uid="{00000000-0005-0000-0000-000048010000}"/>
    <cellStyle name="Normal 3 5 2 6" xfId="420" xr:uid="{00000000-0005-0000-0000-000049010000}"/>
    <cellStyle name="Normal 3 5 2 7" xfId="510" xr:uid="{00000000-0005-0000-0000-00004A010000}"/>
    <cellStyle name="Normal 3 5 2 8" xfId="600" xr:uid="{00000000-0005-0000-0000-00004B010000}"/>
    <cellStyle name="Normal 3 5 2 9" xfId="690" xr:uid="{00000000-0005-0000-0000-00004C010000}"/>
    <cellStyle name="Normal 3 5 3" xfId="75" xr:uid="{00000000-0005-0000-0000-00004D010000}"/>
    <cellStyle name="Normal 3 5 3 2" xfId="168" xr:uid="{00000000-0005-0000-0000-00004E010000}"/>
    <cellStyle name="Normal 3 5 3 3" xfId="258" xr:uid="{00000000-0005-0000-0000-00004F010000}"/>
    <cellStyle name="Normal 3 5 3 4" xfId="348" xr:uid="{00000000-0005-0000-0000-000050010000}"/>
    <cellStyle name="Normal 3 5 3 5" xfId="438" xr:uid="{00000000-0005-0000-0000-000051010000}"/>
    <cellStyle name="Normal 3 5 3 6" xfId="528" xr:uid="{00000000-0005-0000-0000-000052010000}"/>
    <cellStyle name="Normal 3 5 3 7" xfId="618" xr:uid="{00000000-0005-0000-0000-000053010000}"/>
    <cellStyle name="Normal 3 5 3 8" xfId="708" xr:uid="{00000000-0005-0000-0000-000054010000}"/>
    <cellStyle name="Normal 3 5 3 9" xfId="805" xr:uid="{00000000-0005-0000-0000-000055010000}"/>
    <cellStyle name="Normal 3 5 4" xfId="131" xr:uid="{00000000-0005-0000-0000-000056010000}"/>
    <cellStyle name="Normal 3 5 5" xfId="221" xr:uid="{00000000-0005-0000-0000-000057010000}"/>
    <cellStyle name="Normal 3 5 6" xfId="311" xr:uid="{00000000-0005-0000-0000-000058010000}"/>
    <cellStyle name="Normal 3 5 7" xfId="401" xr:uid="{00000000-0005-0000-0000-000059010000}"/>
    <cellStyle name="Normal 3 5 8" xfId="491" xr:uid="{00000000-0005-0000-0000-00005A010000}"/>
    <cellStyle name="Normal 3 5 9" xfId="581" xr:uid="{00000000-0005-0000-0000-00005B010000}"/>
    <cellStyle name="Normal 3 6" xfId="36" xr:uid="{00000000-0005-0000-0000-00005C010000}"/>
    <cellStyle name="Normal 3 6 10" xfId="674" xr:uid="{00000000-0005-0000-0000-00005D010000}"/>
    <cellStyle name="Normal 3 6 11" xfId="769" xr:uid="{00000000-0005-0000-0000-00005E010000}"/>
    <cellStyle name="Normal 3 6 2" xfId="58" xr:uid="{00000000-0005-0000-0000-00005F010000}"/>
    <cellStyle name="Normal 3 6 2 10" xfId="789" xr:uid="{00000000-0005-0000-0000-000060010000}"/>
    <cellStyle name="Normal 3 6 2 2" xfId="98" xr:uid="{00000000-0005-0000-0000-000061010000}"/>
    <cellStyle name="Normal 3 6 2 2 2" xfId="190" xr:uid="{00000000-0005-0000-0000-000062010000}"/>
    <cellStyle name="Normal 3 6 2 2 3" xfId="280" xr:uid="{00000000-0005-0000-0000-000063010000}"/>
    <cellStyle name="Normal 3 6 2 2 4" xfId="370" xr:uid="{00000000-0005-0000-0000-000064010000}"/>
    <cellStyle name="Normal 3 6 2 2 5" xfId="460" xr:uid="{00000000-0005-0000-0000-000065010000}"/>
    <cellStyle name="Normal 3 6 2 2 6" xfId="550" xr:uid="{00000000-0005-0000-0000-000066010000}"/>
    <cellStyle name="Normal 3 6 2 2 7" xfId="640" xr:uid="{00000000-0005-0000-0000-000067010000}"/>
    <cellStyle name="Normal 3 6 2 2 8" xfId="730" xr:uid="{00000000-0005-0000-0000-000068010000}"/>
    <cellStyle name="Normal 3 6 2 2 9" xfId="827" xr:uid="{00000000-0005-0000-0000-000069010000}"/>
    <cellStyle name="Normal 3 6 2 3" xfId="153" xr:uid="{00000000-0005-0000-0000-00006A010000}"/>
    <cellStyle name="Normal 3 6 2 4" xfId="243" xr:uid="{00000000-0005-0000-0000-00006B010000}"/>
    <cellStyle name="Normal 3 6 2 5" xfId="333" xr:uid="{00000000-0005-0000-0000-00006C010000}"/>
    <cellStyle name="Normal 3 6 2 6" xfId="423" xr:uid="{00000000-0005-0000-0000-00006D010000}"/>
    <cellStyle name="Normal 3 6 2 7" xfId="513" xr:uid="{00000000-0005-0000-0000-00006E010000}"/>
    <cellStyle name="Normal 3 6 2 8" xfId="603" xr:uid="{00000000-0005-0000-0000-00006F010000}"/>
    <cellStyle name="Normal 3 6 2 9" xfId="693" xr:uid="{00000000-0005-0000-0000-000070010000}"/>
    <cellStyle name="Normal 3 6 3" xfId="78" xr:uid="{00000000-0005-0000-0000-000071010000}"/>
    <cellStyle name="Normal 3 6 3 2" xfId="171" xr:uid="{00000000-0005-0000-0000-000072010000}"/>
    <cellStyle name="Normal 3 6 3 3" xfId="261" xr:uid="{00000000-0005-0000-0000-000073010000}"/>
    <cellStyle name="Normal 3 6 3 4" xfId="351" xr:uid="{00000000-0005-0000-0000-000074010000}"/>
    <cellStyle name="Normal 3 6 3 5" xfId="441" xr:uid="{00000000-0005-0000-0000-000075010000}"/>
    <cellStyle name="Normal 3 6 3 6" xfId="531" xr:uid="{00000000-0005-0000-0000-000076010000}"/>
    <cellStyle name="Normal 3 6 3 7" xfId="621" xr:uid="{00000000-0005-0000-0000-000077010000}"/>
    <cellStyle name="Normal 3 6 3 8" xfId="711" xr:uid="{00000000-0005-0000-0000-000078010000}"/>
    <cellStyle name="Normal 3 6 3 9" xfId="808" xr:uid="{00000000-0005-0000-0000-000079010000}"/>
    <cellStyle name="Normal 3 6 4" xfId="134" xr:uid="{00000000-0005-0000-0000-00007A010000}"/>
    <cellStyle name="Normal 3 6 5" xfId="224" xr:uid="{00000000-0005-0000-0000-00007B010000}"/>
    <cellStyle name="Normal 3 6 6" xfId="314" xr:uid="{00000000-0005-0000-0000-00007C010000}"/>
    <cellStyle name="Normal 3 6 7" xfId="404" xr:uid="{00000000-0005-0000-0000-00007D010000}"/>
    <cellStyle name="Normal 3 6 8" xfId="494" xr:uid="{00000000-0005-0000-0000-00007E010000}"/>
    <cellStyle name="Normal 3 6 9" xfId="584" xr:uid="{00000000-0005-0000-0000-00007F010000}"/>
    <cellStyle name="Normal 3 7" xfId="42" xr:uid="{00000000-0005-0000-0000-000080010000}"/>
    <cellStyle name="Normal 3 7 10" xfId="774" xr:uid="{00000000-0005-0000-0000-000081010000}"/>
    <cellStyle name="Normal 3 7 2" xfId="82" xr:uid="{00000000-0005-0000-0000-000082010000}"/>
    <cellStyle name="Normal 3 7 2 2" xfId="175" xr:uid="{00000000-0005-0000-0000-000083010000}"/>
    <cellStyle name="Normal 3 7 2 3" xfId="265" xr:uid="{00000000-0005-0000-0000-000084010000}"/>
    <cellStyle name="Normal 3 7 2 4" xfId="355" xr:uid="{00000000-0005-0000-0000-000085010000}"/>
    <cellStyle name="Normal 3 7 2 5" xfId="445" xr:uid="{00000000-0005-0000-0000-000086010000}"/>
    <cellStyle name="Normal 3 7 2 6" xfId="535" xr:uid="{00000000-0005-0000-0000-000087010000}"/>
    <cellStyle name="Normal 3 7 2 7" xfId="625" xr:uid="{00000000-0005-0000-0000-000088010000}"/>
    <cellStyle name="Normal 3 7 2 8" xfId="715" xr:uid="{00000000-0005-0000-0000-000089010000}"/>
    <cellStyle name="Normal 3 7 2 9" xfId="812" xr:uid="{00000000-0005-0000-0000-00008A010000}"/>
    <cellStyle name="Normal 3 7 3" xfId="138" xr:uid="{00000000-0005-0000-0000-00008B010000}"/>
    <cellStyle name="Normal 3 7 4" xfId="228" xr:uid="{00000000-0005-0000-0000-00008C010000}"/>
    <cellStyle name="Normal 3 7 5" xfId="318" xr:uid="{00000000-0005-0000-0000-00008D010000}"/>
    <cellStyle name="Normal 3 7 6" xfId="408" xr:uid="{00000000-0005-0000-0000-00008E010000}"/>
    <cellStyle name="Normal 3 7 7" xfId="498" xr:uid="{00000000-0005-0000-0000-00008F010000}"/>
    <cellStyle name="Normal 3 7 8" xfId="588" xr:uid="{00000000-0005-0000-0000-000090010000}"/>
    <cellStyle name="Normal 3 7 9" xfId="678" xr:uid="{00000000-0005-0000-0000-000091010000}"/>
    <cellStyle name="Normal 3 8" xfId="63" xr:uid="{00000000-0005-0000-0000-000092010000}"/>
    <cellStyle name="Normal 3 8 2" xfId="156" xr:uid="{00000000-0005-0000-0000-000093010000}"/>
    <cellStyle name="Normal 3 8 3" xfId="246" xr:uid="{00000000-0005-0000-0000-000094010000}"/>
    <cellStyle name="Normal 3 8 4" xfId="336" xr:uid="{00000000-0005-0000-0000-000095010000}"/>
    <cellStyle name="Normal 3 8 5" xfId="426" xr:uid="{00000000-0005-0000-0000-000096010000}"/>
    <cellStyle name="Normal 3 8 6" xfId="516" xr:uid="{00000000-0005-0000-0000-000097010000}"/>
    <cellStyle name="Normal 3 8 7" xfId="606" xr:uid="{00000000-0005-0000-0000-000098010000}"/>
    <cellStyle name="Normal 3 8 8" xfId="696" xr:uid="{00000000-0005-0000-0000-000099010000}"/>
    <cellStyle name="Normal 3 8 9" xfId="793" xr:uid="{00000000-0005-0000-0000-00009A010000}"/>
    <cellStyle name="Normal 3 9" xfId="101" xr:uid="{00000000-0005-0000-0000-00009B010000}"/>
    <cellStyle name="Normal 3 9 2" xfId="193" xr:uid="{00000000-0005-0000-0000-00009C010000}"/>
    <cellStyle name="Normal 3 9 3" xfId="283" xr:uid="{00000000-0005-0000-0000-00009D010000}"/>
    <cellStyle name="Normal 3 9 4" xfId="373" xr:uid="{00000000-0005-0000-0000-00009E010000}"/>
    <cellStyle name="Normal 3 9 5" xfId="463" xr:uid="{00000000-0005-0000-0000-00009F010000}"/>
    <cellStyle name="Normal 3 9 6" xfId="553" xr:uid="{00000000-0005-0000-0000-0000A0010000}"/>
    <cellStyle name="Normal 3 9 7" xfId="643" xr:uid="{00000000-0005-0000-0000-0000A1010000}"/>
    <cellStyle name="Normal 3 9 8" xfId="733" xr:uid="{00000000-0005-0000-0000-0000A2010000}"/>
    <cellStyle name="Normal 3 9 9" xfId="830" xr:uid="{00000000-0005-0000-0000-0000A3010000}"/>
    <cellStyle name="Normal 4" xfId="12" xr:uid="{00000000-0005-0000-0000-0000A4010000}"/>
    <cellStyle name="Normal 5" xfId="9" xr:uid="{00000000-0005-0000-0000-0000A5010000}"/>
    <cellStyle name="Normal 5 2" xfId="5" xr:uid="{00000000-0005-0000-0000-0000A6010000}"/>
    <cellStyle name="Normal 5 3" xfId="32" xr:uid="{00000000-0005-0000-0000-0000A7010000}"/>
    <cellStyle name="Normal 5 3 2" xfId="54" xr:uid="{00000000-0005-0000-0000-0000A8010000}"/>
    <cellStyle name="Normal 5 4" xfId="19" xr:uid="{00000000-0005-0000-0000-0000A9010000}"/>
    <cellStyle name="Normal 6" xfId="18" xr:uid="{00000000-0005-0000-0000-0000AA010000}"/>
    <cellStyle name="Normal 6 10" xfId="660" xr:uid="{00000000-0005-0000-0000-0000AB010000}"/>
    <cellStyle name="Normal 6 11" xfId="754" xr:uid="{00000000-0005-0000-0000-0000AC010000}"/>
    <cellStyle name="Normal 6 2" xfId="41" xr:uid="{00000000-0005-0000-0000-0000AD010000}"/>
    <cellStyle name="Normal 6 2 10" xfId="773" xr:uid="{00000000-0005-0000-0000-0000AE010000}"/>
    <cellStyle name="Normal 6 2 2" xfId="81" xr:uid="{00000000-0005-0000-0000-0000AF010000}"/>
    <cellStyle name="Normal 6 2 2 2" xfId="174" xr:uid="{00000000-0005-0000-0000-0000B0010000}"/>
    <cellStyle name="Normal 6 2 2 3" xfId="264" xr:uid="{00000000-0005-0000-0000-0000B1010000}"/>
    <cellStyle name="Normal 6 2 2 4" xfId="354" xr:uid="{00000000-0005-0000-0000-0000B2010000}"/>
    <cellStyle name="Normal 6 2 2 5" xfId="444" xr:uid="{00000000-0005-0000-0000-0000B3010000}"/>
    <cellStyle name="Normal 6 2 2 6" xfId="534" xr:uid="{00000000-0005-0000-0000-0000B4010000}"/>
    <cellStyle name="Normal 6 2 2 7" xfId="624" xr:uid="{00000000-0005-0000-0000-0000B5010000}"/>
    <cellStyle name="Normal 6 2 2 8" xfId="714" xr:uid="{00000000-0005-0000-0000-0000B6010000}"/>
    <cellStyle name="Normal 6 2 2 9" xfId="811" xr:uid="{00000000-0005-0000-0000-0000B7010000}"/>
    <cellStyle name="Normal 6 2 3" xfId="137" xr:uid="{00000000-0005-0000-0000-0000B8010000}"/>
    <cellStyle name="Normal 6 2 4" xfId="227" xr:uid="{00000000-0005-0000-0000-0000B9010000}"/>
    <cellStyle name="Normal 6 2 5" xfId="317" xr:uid="{00000000-0005-0000-0000-0000BA010000}"/>
    <cellStyle name="Normal 6 2 6" xfId="407" xr:uid="{00000000-0005-0000-0000-0000BB010000}"/>
    <cellStyle name="Normal 6 2 7" xfId="497" xr:uid="{00000000-0005-0000-0000-0000BC010000}"/>
    <cellStyle name="Normal 6 2 8" xfId="587" xr:uid="{00000000-0005-0000-0000-0000BD010000}"/>
    <cellStyle name="Normal 6 2 9" xfId="677" xr:uid="{00000000-0005-0000-0000-0000BE010000}"/>
    <cellStyle name="Normal 6 3" xfId="62" xr:uid="{00000000-0005-0000-0000-0000BF010000}"/>
    <cellStyle name="Normal 6 3 2" xfId="155" xr:uid="{00000000-0005-0000-0000-0000C0010000}"/>
    <cellStyle name="Normal 6 3 3" xfId="245" xr:uid="{00000000-0005-0000-0000-0000C1010000}"/>
    <cellStyle name="Normal 6 3 4" xfId="335" xr:uid="{00000000-0005-0000-0000-0000C2010000}"/>
    <cellStyle name="Normal 6 3 5" xfId="425" xr:uid="{00000000-0005-0000-0000-0000C3010000}"/>
    <cellStyle name="Normal 6 3 6" xfId="515" xr:uid="{00000000-0005-0000-0000-0000C4010000}"/>
    <cellStyle name="Normal 6 3 7" xfId="605" xr:uid="{00000000-0005-0000-0000-0000C5010000}"/>
    <cellStyle name="Normal 6 3 8" xfId="695" xr:uid="{00000000-0005-0000-0000-0000C6010000}"/>
    <cellStyle name="Normal 6 3 9" xfId="792" xr:uid="{00000000-0005-0000-0000-0000C7010000}"/>
    <cellStyle name="Normal 6 4" xfId="120" xr:uid="{00000000-0005-0000-0000-0000C8010000}"/>
    <cellStyle name="Normal 6 5" xfId="210" xr:uid="{00000000-0005-0000-0000-0000C9010000}"/>
    <cellStyle name="Normal 6 6" xfId="300" xr:uid="{00000000-0005-0000-0000-0000CA010000}"/>
    <cellStyle name="Normal 6 7" xfId="390" xr:uid="{00000000-0005-0000-0000-0000CB010000}"/>
    <cellStyle name="Normal 6 8" xfId="480" xr:uid="{00000000-0005-0000-0000-0000CC010000}"/>
    <cellStyle name="Normal 6 9" xfId="570" xr:uid="{00000000-0005-0000-0000-0000CD010000}"/>
    <cellStyle name="Normal 7" xfId="22" xr:uid="{00000000-0005-0000-0000-0000CE010000}"/>
    <cellStyle name="Normal 7 10" xfId="661" xr:uid="{00000000-0005-0000-0000-0000CF010000}"/>
    <cellStyle name="Normal 7 11" xfId="756" xr:uid="{00000000-0005-0000-0000-0000D0010000}"/>
    <cellStyle name="Normal 7 2" xfId="44" xr:uid="{00000000-0005-0000-0000-0000D1010000}"/>
    <cellStyle name="Normal 7 2 10" xfId="776" xr:uid="{00000000-0005-0000-0000-0000D2010000}"/>
    <cellStyle name="Normal 7 2 2" xfId="84" xr:uid="{00000000-0005-0000-0000-0000D3010000}"/>
    <cellStyle name="Normal 7 2 2 2" xfId="177" xr:uid="{00000000-0005-0000-0000-0000D4010000}"/>
    <cellStyle name="Normal 7 2 2 3" xfId="267" xr:uid="{00000000-0005-0000-0000-0000D5010000}"/>
    <cellStyle name="Normal 7 2 2 4" xfId="357" xr:uid="{00000000-0005-0000-0000-0000D6010000}"/>
    <cellStyle name="Normal 7 2 2 5" xfId="447" xr:uid="{00000000-0005-0000-0000-0000D7010000}"/>
    <cellStyle name="Normal 7 2 2 6" xfId="537" xr:uid="{00000000-0005-0000-0000-0000D8010000}"/>
    <cellStyle name="Normal 7 2 2 7" xfId="627" xr:uid="{00000000-0005-0000-0000-0000D9010000}"/>
    <cellStyle name="Normal 7 2 2 8" xfId="717" xr:uid="{00000000-0005-0000-0000-0000DA010000}"/>
    <cellStyle name="Normal 7 2 2 9" xfId="814" xr:uid="{00000000-0005-0000-0000-0000DB010000}"/>
    <cellStyle name="Normal 7 2 3" xfId="140" xr:uid="{00000000-0005-0000-0000-0000DC010000}"/>
    <cellStyle name="Normal 7 2 4" xfId="230" xr:uid="{00000000-0005-0000-0000-0000DD010000}"/>
    <cellStyle name="Normal 7 2 5" xfId="320" xr:uid="{00000000-0005-0000-0000-0000DE010000}"/>
    <cellStyle name="Normal 7 2 6" xfId="410" xr:uid="{00000000-0005-0000-0000-0000DF010000}"/>
    <cellStyle name="Normal 7 2 7" xfId="500" xr:uid="{00000000-0005-0000-0000-0000E0010000}"/>
    <cellStyle name="Normal 7 2 8" xfId="590" xr:uid="{00000000-0005-0000-0000-0000E1010000}"/>
    <cellStyle name="Normal 7 2 9" xfId="680" xr:uid="{00000000-0005-0000-0000-0000E2010000}"/>
    <cellStyle name="Normal 7 3" xfId="65" xr:uid="{00000000-0005-0000-0000-0000E3010000}"/>
    <cellStyle name="Normal 7 3 2" xfId="158" xr:uid="{00000000-0005-0000-0000-0000E4010000}"/>
    <cellStyle name="Normal 7 3 3" xfId="248" xr:uid="{00000000-0005-0000-0000-0000E5010000}"/>
    <cellStyle name="Normal 7 3 4" xfId="338" xr:uid="{00000000-0005-0000-0000-0000E6010000}"/>
    <cellStyle name="Normal 7 3 5" xfId="428" xr:uid="{00000000-0005-0000-0000-0000E7010000}"/>
    <cellStyle name="Normal 7 3 6" xfId="518" xr:uid="{00000000-0005-0000-0000-0000E8010000}"/>
    <cellStyle name="Normal 7 3 7" xfId="608" xr:uid="{00000000-0005-0000-0000-0000E9010000}"/>
    <cellStyle name="Normal 7 3 8" xfId="698" xr:uid="{00000000-0005-0000-0000-0000EA010000}"/>
    <cellStyle name="Normal 7 3 9" xfId="795" xr:uid="{00000000-0005-0000-0000-0000EB010000}"/>
    <cellStyle name="Normal 7 4" xfId="121" xr:uid="{00000000-0005-0000-0000-0000EC010000}"/>
    <cellStyle name="Normal 7 5" xfId="211" xr:uid="{00000000-0005-0000-0000-0000ED010000}"/>
    <cellStyle name="Normal 7 6" xfId="301" xr:uid="{00000000-0005-0000-0000-0000EE010000}"/>
    <cellStyle name="Normal 7 7" xfId="391" xr:uid="{00000000-0005-0000-0000-0000EF010000}"/>
    <cellStyle name="Normal 7 8" xfId="481" xr:uid="{00000000-0005-0000-0000-0000F0010000}"/>
    <cellStyle name="Normal 7 9" xfId="571" xr:uid="{00000000-0005-0000-0000-0000F1010000}"/>
    <cellStyle name="Normal 8" xfId="25" xr:uid="{00000000-0005-0000-0000-0000F2010000}"/>
    <cellStyle name="Normal 8 10" xfId="664" xr:uid="{00000000-0005-0000-0000-0000F3010000}"/>
    <cellStyle name="Normal 8 11" xfId="759" xr:uid="{00000000-0005-0000-0000-0000F4010000}"/>
    <cellStyle name="Normal 8 2" xfId="47" xr:uid="{00000000-0005-0000-0000-0000F5010000}"/>
    <cellStyle name="Normal 8 2 10" xfId="779" xr:uid="{00000000-0005-0000-0000-0000F6010000}"/>
    <cellStyle name="Normal 8 2 2" xfId="87" xr:uid="{00000000-0005-0000-0000-0000F7010000}"/>
    <cellStyle name="Normal 8 2 2 2" xfId="180" xr:uid="{00000000-0005-0000-0000-0000F8010000}"/>
    <cellStyle name="Normal 8 2 2 3" xfId="270" xr:uid="{00000000-0005-0000-0000-0000F9010000}"/>
    <cellStyle name="Normal 8 2 2 4" xfId="360" xr:uid="{00000000-0005-0000-0000-0000FA010000}"/>
    <cellStyle name="Normal 8 2 2 5" xfId="450" xr:uid="{00000000-0005-0000-0000-0000FB010000}"/>
    <cellStyle name="Normal 8 2 2 6" xfId="540" xr:uid="{00000000-0005-0000-0000-0000FC010000}"/>
    <cellStyle name="Normal 8 2 2 7" xfId="630" xr:uid="{00000000-0005-0000-0000-0000FD010000}"/>
    <cellStyle name="Normal 8 2 2 8" xfId="720" xr:uid="{00000000-0005-0000-0000-0000FE010000}"/>
    <cellStyle name="Normal 8 2 2 9" xfId="817" xr:uid="{00000000-0005-0000-0000-0000FF010000}"/>
    <cellStyle name="Normal 8 2 3" xfId="143" xr:uid="{00000000-0005-0000-0000-000000020000}"/>
    <cellStyle name="Normal 8 2 4" xfId="233" xr:uid="{00000000-0005-0000-0000-000001020000}"/>
    <cellStyle name="Normal 8 2 5" xfId="323" xr:uid="{00000000-0005-0000-0000-000002020000}"/>
    <cellStyle name="Normal 8 2 6" xfId="413" xr:uid="{00000000-0005-0000-0000-000003020000}"/>
    <cellStyle name="Normal 8 2 7" xfId="503" xr:uid="{00000000-0005-0000-0000-000004020000}"/>
    <cellStyle name="Normal 8 2 8" xfId="593" xr:uid="{00000000-0005-0000-0000-000005020000}"/>
    <cellStyle name="Normal 8 2 9" xfId="683" xr:uid="{00000000-0005-0000-0000-000006020000}"/>
    <cellStyle name="Normal 8 3" xfId="68" xr:uid="{00000000-0005-0000-0000-000007020000}"/>
    <cellStyle name="Normal 8 3 2" xfId="161" xr:uid="{00000000-0005-0000-0000-000008020000}"/>
    <cellStyle name="Normal 8 3 3" xfId="251" xr:uid="{00000000-0005-0000-0000-000009020000}"/>
    <cellStyle name="Normal 8 3 4" xfId="341" xr:uid="{00000000-0005-0000-0000-00000A020000}"/>
    <cellStyle name="Normal 8 3 5" xfId="431" xr:uid="{00000000-0005-0000-0000-00000B020000}"/>
    <cellStyle name="Normal 8 3 6" xfId="521" xr:uid="{00000000-0005-0000-0000-00000C020000}"/>
    <cellStyle name="Normal 8 3 7" xfId="611" xr:uid="{00000000-0005-0000-0000-00000D020000}"/>
    <cellStyle name="Normal 8 3 8" xfId="701" xr:uid="{00000000-0005-0000-0000-00000E020000}"/>
    <cellStyle name="Normal 8 3 9" xfId="798" xr:uid="{00000000-0005-0000-0000-00000F020000}"/>
    <cellStyle name="Normal 8 4" xfId="124" xr:uid="{00000000-0005-0000-0000-000010020000}"/>
    <cellStyle name="Normal 8 5" xfId="214" xr:uid="{00000000-0005-0000-0000-000011020000}"/>
    <cellStyle name="Normal 8 6" xfId="304" xr:uid="{00000000-0005-0000-0000-000012020000}"/>
    <cellStyle name="Normal 8 7" xfId="394" xr:uid="{00000000-0005-0000-0000-000013020000}"/>
    <cellStyle name="Normal 8 8" xfId="484" xr:uid="{00000000-0005-0000-0000-000014020000}"/>
    <cellStyle name="Normal 8 9" xfId="574" xr:uid="{00000000-0005-0000-0000-000015020000}"/>
    <cellStyle name="Normal 9" xfId="28" xr:uid="{00000000-0005-0000-0000-000016020000}"/>
    <cellStyle name="Normal 9 10" xfId="667" xr:uid="{00000000-0005-0000-0000-000017020000}"/>
    <cellStyle name="Normal 9 11" xfId="762" xr:uid="{00000000-0005-0000-0000-000018020000}"/>
    <cellStyle name="Normal 9 2" xfId="50" xr:uid="{00000000-0005-0000-0000-000019020000}"/>
    <cellStyle name="Normal 9 2 10" xfId="782" xr:uid="{00000000-0005-0000-0000-00001A020000}"/>
    <cellStyle name="Normal 9 2 2" xfId="90" xr:uid="{00000000-0005-0000-0000-00001B020000}"/>
    <cellStyle name="Normal 9 2 2 2" xfId="183" xr:uid="{00000000-0005-0000-0000-00001C020000}"/>
    <cellStyle name="Normal 9 2 2 3" xfId="273" xr:uid="{00000000-0005-0000-0000-00001D020000}"/>
    <cellStyle name="Normal 9 2 2 4" xfId="363" xr:uid="{00000000-0005-0000-0000-00001E020000}"/>
    <cellStyle name="Normal 9 2 2 5" xfId="453" xr:uid="{00000000-0005-0000-0000-00001F020000}"/>
    <cellStyle name="Normal 9 2 2 6" xfId="543" xr:uid="{00000000-0005-0000-0000-000020020000}"/>
    <cellStyle name="Normal 9 2 2 7" xfId="633" xr:uid="{00000000-0005-0000-0000-000021020000}"/>
    <cellStyle name="Normal 9 2 2 8" xfId="723" xr:uid="{00000000-0005-0000-0000-000022020000}"/>
    <cellStyle name="Normal 9 2 2 9" xfId="820" xr:uid="{00000000-0005-0000-0000-000023020000}"/>
    <cellStyle name="Normal 9 2 3" xfId="146" xr:uid="{00000000-0005-0000-0000-000024020000}"/>
    <cellStyle name="Normal 9 2 4" xfId="236" xr:uid="{00000000-0005-0000-0000-000025020000}"/>
    <cellStyle name="Normal 9 2 5" xfId="326" xr:uid="{00000000-0005-0000-0000-000026020000}"/>
    <cellStyle name="Normal 9 2 6" xfId="416" xr:uid="{00000000-0005-0000-0000-000027020000}"/>
    <cellStyle name="Normal 9 2 7" xfId="506" xr:uid="{00000000-0005-0000-0000-000028020000}"/>
    <cellStyle name="Normal 9 2 8" xfId="596" xr:uid="{00000000-0005-0000-0000-000029020000}"/>
    <cellStyle name="Normal 9 2 9" xfId="686" xr:uid="{00000000-0005-0000-0000-00002A020000}"/>
    <cellStyle name="Normal 9 3" xfId="71" xr:uid="{00000000-0005-0000-0000-00002B020000}"/>
    <cellStyle name="Normal 9 3 2" xfId="164" xr:uid="{00000000-0005-0000-0000-00002C020000}"/>
    <cellStyle name="Normal 9 3 3" xfId="254" xr:uid="{00000000-0005-0000-0000-00002D020000}"/>
    <cellStyle name="Normal 9 3 4" xfId="344" xr:uid="{00000000-0005-0000-0000-00002E020000}"/>
    <cellStyle name="Normal 9 3 5" xfId="434" xr:uid="{00000000-0005-0000-0000-00002F020000}"/>
    <cellStyle name="Normal 9 3 6" xfId="524" xr:uid="{00000000-0005-0000-0000-000030020000}"/>
    <cellStyle name="Normal 9 3 7" xfId="614" xr:uid="{00000000-0005-0000-0000-000031020000}"/>
    <cellStyle name="Normal 9 3 8" xfId="704" xr:uid="{00000000-0005-0000-0000-000032020000}"/>
    <cellStyle name="Normal 9 3 9" xfId="801" xr:uid="{00000000-0005-0000-0000-000033020000}"/>
    <cellStyle name="Normal 9 4" xfId="127" xr:uid="{00000000-0005-0000-0000-000034020000}"/>
    <cellStyle name="Normal 9 5" xfId="217" xr:uid="{00000000-0005-0000-0000-000035020000}"/>
    <cellStyle name="Normal 9 6" xfId="307" xr:uid="{00000000-0005-0000-0000-000036020000}"/>
    <cellStyle name="Normal 9 7" xfId="397" xr:uid="{00000000-0005-0000-0000-000037020000}"/>
    <cellStyle name="Normal 9 8" xfId="487" xr:uid="{00000000-0005-0000-0000-000038020000}"/>
    <cellStyle name="Normal 9 9" xfId="577" xr:uid="{00000000-0005-0000-0000-000039020000}"/>
    <cellStyle name="Normal_Forslag" xfId="845" xr:uid="{00000000-0005-0000-0000-00003A020000}"/>
    <cellStyle name="Tusenskille 2" xfId="14" xr:uid="{00000000-0005-0000-0000-00003C020000}"/>
    <cellStyle name="Tusenskille 2 2" xfId="15" xr:uid="{00000000-0005-0000-0000-00003D020000}"/>
    <cellStyle name="Tusenskille 2 2 2" xfId="751" xr:uid="{00000000-0005-0000-0000-00003E020000}"/>
    <cellStyle name="Tusenskille 2 2 3" xfId="848" xr:uid="{F77FA10F-B946-43D0-BDB2-55CEFCE8EA1F}"/>
    <cellStyle name="Tusenskille 2 3" xfId="21" xr:uid="{00000000-0005-0000-0000-00003F020000}"/>
    <cellStyle name="Tusenskille 2 3 2" xfId="755" xr:uid="{00000000-0005-0000-0000-000040020000}"/>
    <cellStyle name="Tusenskille 2 4" xfId="40" xr:uid="{00000000-0005-0000-0000-000041020000}"/>
    <cellStyle name="Tusenskille 2 4 2" xfId="772" xr:uid="{00000000-0005-0000-0000-000042020000}"/>
    <cellStyle name="Tusenskille 2 5" xfId="61" xr:uid="{00000000-0005-0000-0000-000043020000}"/>
    <cellStyle name="Tusenskille 2 5 2" xfId="791" xr:uid="{00000000-0005-0000-0000-000044020000}"/>
    <cellStyle name="Tusenskille 2 6" xfId="750" xr:uid="{00000000-0005-0000-0000-000045020000}"/>
    <cellStyle name="Tusenskille 3" xfId="16" xr:uid="{00000000-0005-0000-0000-000046020000}"/>
    <cellStyle name="Tusenskille 3 10" xfId="105" xr:uid="{00000000-0005-0000-0000-000047020000}"/>
    <cellStyle name="Tusenskille 3 10 2" xfId="197" xr:uid="{00000000-0005-0000-0000-000048020000}"/>
    <cellStyle name="Tusenskille 3 10 3" xfId="287" xr:uid="{00000000-0005-0000-0000-000049020000}"/>
    <cellStyle name="Tusenskille 3 10 4" xfId="377" xr:uid="{00000000-0005-0000-0000-00004A020000}"/>
    <cellStyle name="Tusenskille 3 10 5" xfId="467" xr:uid="{00000000-0005-0000-0000-00004B020000}"/>
    <cellStyle name="Tusenskille 3 10 6" xfId="557" xr:uid="{00000000-0005-0000-0000-00004C020000}"/>
    <cellStyle name="Tusenskille 3 10 7" xfId="647" xr:uid="{00000000-0005-0000-0000-00004D020000}"/>
    <cellStyle name="Tusenskille 3 10 8" xfId="737" xr:uid="{00000000-0005-0000-0000-00004E020000}"/>
    <cellStyle name="Tusenskille 3 10 9" xfId="834" xr:uid="{00000000-0005-0000-0000-00004F020000}"/>
    <cellStyle name="Tusenskille 3 11" xfId="108" xr:uid="{00000000-0005-0000-0000-000050020000}"/>
    <cellStyle name="Tusenskille 3 11 2" xfId="200" xr:uid="{00000000-0005-0000-0000-000051020000}"/>
    <cellStyle name="Tusenskille 3 11 3" xfId="290" xr:uid="{00000000-0005-0000-0000-000052020000}"/>
    <cellStyle name="Tusenskille 3 11 4" xfId="380" xr:uid="{00000000-0005-0000-0000-000053020000}"/>
    <cellStyle name="Tusenskille 3 11 5" xfId="470" xr:uid="{00000000-0005-0000-0000-000054020000}"/>
    <cellStyle name="Tusenskille 3 11 6" xfId="560" xr:uid="{00000000-0005-0000-0000-000055020000}"/>
    <cellStyle name="Tusenskille 3 11 7" xfId="650" xr:uid="{00000000-0005-0000-0000-000056020000}"/>
    <cellStyle name="Tusenskille 3 11 8" xfId="740" xr:uid="{00000000-0005-0000-0000-000057020000}"/>
    <cellStyle name="Tusenskille 3 11 9" xfId="837" xr:uid="{00000000-0005-0000-0000-000058020000}"/>
    <cellStyle name="Tusenskille 3 12" xfId="111" xr:uid="{00000000-0005-0000-0000-000059020000}"/>
    <cellStyle name="Tusenskille 3 12 2" xfId="203" xr:uid="{00000000-0005-0000-0000-00005A020000}"/>
    <cellStyle name="Tusenskille 3 12 3" xfId="293" xr:uid="{00000000-0005-0000-0000-00005B020000}"/>
    <cellStyle name="Tusenskille 3 12 4" xfId="383" xr:uid="{00000000-0005-0000-0000-00005C020000}"/>
    <cellStyle name="Tusenskille 3 12 5" xfId="473" xr:uid="{00000000-0005-0000-0000-00005D020000}"/>
    <cellStyle name="Tusenskille 3 12 6" xfId="563" xr:uid="{00000000-0005-0000-0000-00005E020000}"/>
    <cellStyle name="Tusenskille 3 12 7" xfId="653" xr:uid="{00000000-0005-0000-0000-00005F020000}"/>
    <cellStyle name="Tusenskille 3 12 8" xfId="743" xr:uid="{00000000-0005-0000-0000-000060020000}"/>
    <cellStyle name="Tusenskille 3 12 9" xfId="840" xr:uid="{00000000-0005-0000-0000-000061020000}"/>
    <cellStyle name="Tusenskille 3 13" xfId="114" xr:uid="{00000000-0005-0000-0000-000062020000}"/>
    <cellStyle name="Tusenskille 3 13 2" xfId="206" xr:uid="{00000000-0005-0000-0000-000063020000}"/>
    <cellStyle name="Tusenskille 3 13 3" xfId="296" xr:uid="{00000000-0005-0000-0000-000064020000}"/>
    <cellStyle name="Tusenskille 3 13 4" xfId="386" xr:uid="{00000000-0005-0000-0000-000065020000}"/>
    <cellStyle name="Tusenskille 3 13 5" xfId="476" xr:uid="{00000000-0005-0000-0000-000066020000}"/>
    <cellStyle name="Tusenskille 3 13 6" xfId="566" xr:uid="{00000000-0005-0000-0000-000067020000}"/>
    <cellStyle name="Tusenskille 3 13 7" xfId="656" xr:uid="{00000000-0005-0000-0000-000068020000}"/>
    <cellStyle name="Tusenskille 3 13 8" xfId="746" xr:uid="{00000000-0005-0000-0000-000069020000}"/>
    <cellStyle name="Tusenskille 3 13 9" xfId="843" xr:uid="{00000000-0005-0000-0000-00006A020000}"/>
    <cellStyle name="Tusenskille 3 14" xfId="119" xr:uid="{00000000-0005-0000-0000-00006B020000}"/>
    <cellStyle name="Tusenskille 3 15" xfId="209" xr:uid="{00000000-0005-0000-0000-00006C020000}"/>
    <cellStyle name="Tusenskille 3 16" xfId="299" xr:uid="{00000000-0005-0000-0000-00006D020000}"/>
    <cellStyle name="Tusenskille 3 17" xfId="389" xr:uid="{00000000-0005-0000-0000-00006E020000}"/>
    <cellStyle name="Tusenskille 3 18" xfId="479" xr:uid="{00000000-0005-0000-0000-00006F020000}"/>
    <cellStyle name="Tusenskille 3 19" xfId="569" xr:uid="{00000000-0005-0000-0000-000070020000}"/>
    <cellStyle name="Tusenskille 3 2" xfId="24" xr:uid="{00000000-0005-0000-0000-000071020000}"/>
    <cellStyle name="Tusenskille 3 2 10" xfId="663" xr:uid="{00000000-0005-0000-0000-000072020000}"/>
    <cellStyle name="Tusenskille 3 2 11" xfId="758" xr:uid="{00000000-0005-0000-0000-000073020000}"/>
    <cellStyle name="Tusenskille 3 2 2" xfId="46" xr:uid="{00000000-0005-0000-0000-000074020000}"/>
    <cellStyle name="Tusenskille 3 2 2 10" xfId="778" xr:uid="{00000000-0005-0000-0000-000075020000}"/>
    <cellStyle name="Tusenskille 3 2 2 2" xfId="86" xr:uid="{00000000-0005-0000-0000-000076020000}"/>
    <cellStyle name="Tusenskille 3 2 2 2 2" xfId="179" xr:uid="{00000000-0005-0000-0000-000077020000}"/>
    <cellStyle name="Tusenskille 3 2 2 2 3" xfId="269" xr:uid="{00000000-0005-0000-0000-000078020000}"/>
    <cellStyle name="Tusenskille 3 2 2 2 4" xfId="359" xr:uid="{00000000-0005-0000-0000-000079020000}"/>
    <cellStyle name="Tusenskille 3 2 2 2 5" xfId="449" xr:uid="{00000000-0005-0000-0000-00007A020000}"/>
    <cellStyle name="Tusenskille 3 2 2 2 6" xfId="539" xr:uid="{00000000-0005-0000-0000-00007B020000}"/>
    <cellStyle name="Tusenskille 3 2 2 2 7" xfId="629" xr:uid="{00000000-0005-0000-0000-00007C020000}"/>
    <cellStyle name="Tusenskille 3 2 2 2 8" xfId="719" xr:uid="{00000000-0005-0000-0000-00007D020000}"/>
    <cellStyle name="Tusenskille 3 2 2 2 9" xfId="816" xr:uid="{00000000-0005-0000-0000-00007E020000}"/>
    <cellStyle name="Tusenskille 3 2 2 3" xfId="142" xr:uid="{00000000-0005-0000-0000-00007F020000}"/>
    <cellStyle name="Tusenskille 3 2 2 4" xfId="232" xr:uid="{00000000-0005-0000-0000-000080020000}"/>
    <cellStyle name="Tusenskille 3 2 2 5" xfId="322" xr:uid="{00000000-0005-0000-0000-000081020000}"/>
    <cellStyle name="Tusenskille 3 2 2 6" xfId="412" xr:uid="{00000000-0005-0000-0000-000082020000}"/>
    <cellStyle name="Tusenskille 3 2 2 7" xfId="502" xr:uid="{00000000-0005-0000-0000-000083020000}"/>
    <cellStyle name="Tusenskille 3 2 2 8" xfId="592" xr:uid="{00000000-0005-0000-0000-000084020000}"/>
    <cellStyle name="Tusenskille 3 2 2 9" xfId="682" xr:uid="{00000000-0005-0000-0000-000085020000}"/>
    <cellStyle name="Tusenskille 3 2 3" xfId="67" xr:uid="{00000000-0005-0000-0000-000086020000}"/>
    <cellStyle name="Tusenskille 3 2 3 2" xfId="160" xr:uid="{00000000-0005-0000-0000-000087020000}"/>
    <cellStyle name="Tusenskille 3 2 3 3" xfId="250" xr:uid="{00000000-0005-0000-0000-000088020000}"/>
    <cellStyle name="Tusenskille 3 2 3 4" xfId="340" xr:uid="{00000000-0005-0000-0000-000089020000}"/>
    <cellStyle name="Tusenskille 3 2 3 5" xfId="430" xr:uid="{00000000-0005-0000-0000-00008A020000}"/>
    <cellStyle name="Tusenskille 3 2 3 6" xfId="520" xr:uid="{00000000-0005-0000-0000-00008B020000}"/>
    <cellStyle name="Tusenskille 3 2 3 7" xfId="610" xr:uid="{00000000-0005-0000-0000-00008C020000}"/>
    <cellStyle name="Tusenskille 3 2 3 8" xfId="700" xr:uid="{00000000-0005-0000-0000-00008D020000}"/>
    <cellStyle name="Tusenskille 3 2 3 9" xfId="797" xr:uid="{00000000-0005-0000-0000-00008E020000}"/>
    <cellStyle name="Tusenskille 3 2 4" xfId="123" xr:uid="{00000000-0005-0000-0000-00008F020000}"/>
    <cellStyle name="Tusenskille 3 2 5" xfId="213" xr:uid="{00000000-0005-0000-0000-000090020000}"/>
    <cellStyle name="Tusenskille 3 2 6" xfId="303" xr:uid="{00000000-0005-0000-0000-000091020000}"/>
    <cellStyle name="Tusenskille 3 2 7" xfId="393" xr:uid="{00000000-0005-0000-0000-000092020000}"/>
    <cellStyle name="Tusenskille 3 2 8" xfId="483" xr:uid="{00000000-0005-0000-0000-000093020000}"/>
    <cellStyle name="Tusenskille 3 2 9" xfId="573" xr:uid="{00000000-0005-0000-0000-000094020000}"/>
    <cellStyle name="Tusenskille 3 20" xfId="659" xr:uid="{00000000-0005-0000-0000-000095020000}"/>
    <cellStyle name="Tusenskille 3 21" xfId="752" xr:uid="{00000000-0005-0000-0000-000096020000}"/>
    <cellStyle name="Tusenskille 3 3" xfId="27" xr:uid="{00000000-0005-0000-0000-000097020000}"/>
    <cellStyle name="Tusenskille 3 3 10" xfId="666" xr:uid="{00000000-0005-0000-0000-000098020000}"/>
    <cellStyle name="Tusenskille 3 3 11" xfId="761" xr:uid="{00000000-0005-0000-0000-000099020000}"/>
    <cellStyle name="Tusenskille 3 3 2" xfId="49" xr:uid="{00000000-0005-0000-0000-00009A020000}"/>
    <cellStyle name="Tusenskille 3 3 2 10" xfId="781" xr:uid="{00000000-0005-0000-0000-00009B020000}"/>
    <cellStyle name="Tusenskille 3 3 2 2" xfId="89" xr:uid="{00000000-0005-0000-0000-00009C020000}"/>
    <cellStyle name="Tusenskille 3 3 2 2 2" xfId="182" xr:uid="{00000000-0005-0000-0000-00009D020000}"/>
    <cellStyle name="Tusenskille 3 3 2 2 3" xfId="272" xr:uid="{00000000-0005-0000-0000-00009E020000}"/>
    <cellStyle name="Tusenskille 3 3 2 2 4" xfId="362" xr:uid="{00000000-0005-0000-0000-00009F020000}"/>
    <cellStyle name="Tusenskille 3 3 2 2 5" xfId="452" xr:uid="{00000000-0005-0000-0000-0000A0020000}"/>
    <cellStyle name="Tusenskille 3 3 2 2 6" xfId="542" xr:uid="{00000000-0005-0000-0000-0000A1020000}"/>
    <cellStyle name="Tusenskille 3 3 2 2 7" xfId="632" xr:uid="{00000000-0005-0000-0000-0000A2020000}"/>
    <cellStyle name="Tusenskille 3 3 2 2 8" xfId="722" xr:uid="{00000000-0005-0000-0000-0000A3020000}"/>
    <cellStyle name="Tusenskille 3 3 2 2 9" xfId="819" xr:uid="{00000000-0005-0000-0000-0000A4020000}"/>
    <cellStyle name="Tusenskille 3 3 2 3" xfId="145" xr:uid="{00000000-0005-0000-0000-0000A5020000}"/>
    <cellStyle name="Tusenskille 3 3 2 4" xfId="235" xr:uid="{00000000-0005-0000-0000-0000A6020000}"/>
    <cellStyle name="Tusenskille 3 3 2 5" xfId="325" xr:uid="{00000000-0005-0000-0000-0000A7020000}"/>
    <cellStyle name="Tusenskille 3 3 2 6" xfId="415" xr:uid="{00000000-0005-0000-0000-0000A8020000}"/>
    <cellStyle name="Tusenskille 3 3 2 7" xfId="505" xr:uid="{00000000-0005-0000-0000-0000A9020000}"/>
    <cellStyle name="Tusenskille 3 3 2 8" xfId="595" xr:uid="{00000000-0005-0000-0000-0000AA020000}"/>
    <cellStyle name="Tusenskille 3 3 2 9" xfId="685" xr:uid="{00000000-0005-0000-0000-0000AB020000}"/>
    <cellStyle name="Tusenskille 3 3 3" xfId="70" xr:uid="{00000000-0005-0000-0000-0000AC020000}"/>
    <cellStyle name="Tusenskille 3 3 3 2" xfId="163" xr:uid="{00000000-0005-0000-0000-0000AD020000}"/>
    <cellStyle name="Tusenskille 3 3 3 3" xfId="253" xr:uid="{00000000-0005-0000-0000-0000AE020000}"/>
    <cellStyle name="Tusenskille 3 3 3 4" xfId="343" xr:uid="{00000000-0005-0000-0000-0000AF020000}"/>
    <cellStyle name="Tusenskille 3 3 3 5" xfId="433" xr:uid="{00000000-0005-0000-0000-0000B0020000}"/>
    <cellStyle name="Tusenskille 3 3 3 6" xfId="523" xr:uid="{00000000-0005-0000-0000-0000B1020000}"/>
    <cellStyle name="Tusenskille 3 3 3 7" xfId="613" xr:uid="{00000000-0005-0000-0000-0000B2020000}"/>
    <cellStyle name="Tusenskille 3 3 3 8" xfId="703" xr:uid="{00000000-0005-0000-0000-0000B3020000}"/>
    <cellStyle name="Tusenskille 3 3 3 9" xfId="800" xr:uid="{00000000-0005-0000-0000-0000B4020000}"/>
    <cellStyle name="Tusenskille 3 3 4" xfId="126" xr:uid="{00000000-0005-0000-0000-0000B5020000}"/>
    <cellStyle name="Tusenskille 3 3 5" xfId="216" xr:uid="{00000000-0005-0000-0000-0000B6020000}"/>
    <cellStyle name="Tusenskille 3 3 6" xfId="306" xr:uid="{00000000-0005-0000-0000-0000B7020000}"/>
    <cellStyle name="Tusenskille 3 3 7" xfId="396" xr:uid="{00000000-0005-0000-0000-0000B8020000}"/>
    <cellStyle name="Tusenskille 3 3 8" xfId="486" xr:uid="{00000000-0005-0000-0000-0000B9020000}"/>
    <cellStyle name="Tusenskille 3 3 9" xfId="576" xr:uid="{00000000-0005-0000-0000-0000BA020000}"/>
    <cellStyle name="Tusenskille 3 4" xfId="30" xr:uid="{00000000-0005-0000-0000-0000BB020000}"/>
    <cellStyle name="Tusenskille 3 4 10" xfId="669" xr:uid="{00000000-0005-0000-0000-0000BC020000}"/>
    <cellStyle name="Tusenskille 3 4 11" xfId="764" xr:uid="{00000000-0005-0000-0000-0000BD020000}"/>
    <cellStyle name="Tusenskille 3 4 2" xfId="52" xr:uid="{00000000-0005-0000-0000-0000BE020000}"/>
    <cellStyle name="Tusenskille 3 4 2 10" xfId="784" xr:uid="{00000000-0005-0000-0000-0000BF020000}"/>
    <cellStyle name="Tusenskille 3 4 2 2" xfId="92" xr:uid="{00000000-0005-0000-0000-0000C0020000}"/>
    <cellStyle name="Tusenskille 3 4 2 2 2" xfId="185" xr:uid="{00000000-0005-0000-0000-0000C1020000}"/>
    <cellStyle name="Tusenskille 3 4 2 2 3" xfId="275" xr:uid="{00000000-0005-0000-0000-0000C2020000}"/>
    <cellStyle name="Tusenskille 3 4 2 2 4" xfId="365" xr:uid="{00000000-0005-0000-0000-0000C3020000}"/>
    <cellStyle name="Tusenskille 3 4 2 2 5" xfId="455" xr:uid="{00000000-0005-0000-0000-0000C4020000}"/>
    <cellStyle name="Tusenskille 3 4 2 2 6" xfId="545" xr:uid="{00000000-0005-0000-0000-0000C5020000}"/>
    <cellStyle name="Tusenskille 3 4 2 2 7" xfId="635" xr:uid="{00000000-0005-0000-0000-0000C6020000}"/>
    <cellStyle name="Tusenskille 3 4 2 2 8" xfId="725" xr:uid="{00000000-0005-0000-0000-0000C7020000}"/>
    <cellStyle name="Tusenskille 3 4 2 2 9" xfId="822" xr:uid="{00000000-0005-0000-0000-0000C8020000}"/>
    <cellStyle name="Tusenskille 3 4 2 3" xfId="148" xr:uid="{00000000-0005-0000-0000-0000C9020000}"/>
    <cellStyle name="Tusenskille 3 4 2 4" xfId="238" xr:uid="{00000000-0005-0000-0000-0000CA020000}"/>
    <cellStyle name="Tusenskille 3 4 2 5" xfId="328" xr:uid="{00000000-0005-0000-0000-0000CB020000}"/>
    <cellStyle name="Tusenskille 3 4 2 6" xfId="418" xr:uid="{00000000-0005-0000-0000-0000CC020000}"/>
    <cellStyle name="Tusenskille 3 4 2 7" xfId="508" xr:uid="{00000000-0005-0000-0000-0000CD020000}"/>
    <cellStyle name="Tusenskille 3 4 2 8" xfId="598" xr:uid="{00000000-0005-0000-0000-0000CE020000}"/>
    <cellStyle name="Tusenskille 3 4 2 9" xfId="688" xr:uid="{00000000-0005-0000-0000-0000CF020000}"/>
    <cellStyle name="Tusenskille 3 4 3" xfId="73" xr:uid="{00000000-0005-0000-0000-0000D0020000}"/>
    <cellStyle name="Tusenskille 3 4 3 2" xfId="166" xr:uid="{00000000-0005-0000-0000-0000D1020000}"/>
    <cellStyle name="Tusenskille 3 4 3 3" xfId="256" xr:uid="{00000000-0005-0000-0000-0000D2020000}"/>
    <cellStyle name="Tusenskille 3 4 3 4" xfId="346" xr:uid="{00000000-0005-0000-0000-0000D3020000}"/>
    <cellStyle name="Tusenskille 3 4 3 5" xfId="436" xr:uid="{00000000-0005-0000-0000-0000D4020000}"/>
    <cellStyle name="Tusenskille 3 4 3 6" xfId="526" xr:uid="{00000000-0005-0000-0000-0000D5020000}"/>
    <cellStyle name="Tusenskille 3 4 3 7" xfId="616" xr:uid="{00000000-0005-0000-0000-0000D6020000}"/>
    <cellStyle name="Tusenskille 3 4 3 8" xfId="706" xr:uid="{00000000-0005-0000-0000-0000D7020000}"/>
    <cellStyle name="Tusenskille 3 4 3 9" xfId="803" xr:uid="{00000000-0005-0000-0000-0000D8020000}"/>
    <cellStyle name="Tusenskille 3 4 4" xfId="129" xr:uid="{00000000-0005-0000-0000-0000D9020000}"/>
    <cellStyle name="Tusenskille 3 4 5" xfId="219" xr:uid="{00000000-0005-0000-0000-0000DA020000}"/>
    <cellStyle name="Tusenskille 3 4 6" xfId="309" xr:uid="{00000000-0005-0000-0000-0000DB020000}"/>
    <cellStyle name="Tusenskille 3 4 7" xfId="399" xr:uid="{00000000-0005-0000-0000-0000DC020000}"/>
    <cellStyle name="Tusenskille 3 4 8" xfId="489" xr:uid="{00000000-0005-0000-0000-0000DD020000}"/>
    <cellStyle name="Tusenskille 3 4 9" xfId="579" xr:uid="{00000000-0005-0000-0000-0000DE020000}"/>
    <cellStyle name="Tusenskille 3 5" xfId="34" xr:uid="{00000000-0005-0000-0000-0000DF020000}"/>
    <cellStyle name="Tusenskille 3 5 10" xfId="672" xr:uid="{00000000-0005-0000-0000-0000E0020000}"/>
    <cellStyle name="Tusenskille 3 5 11" xfId="767" xr:uid="{00000000-0005-0000-0000-0000E1020000}"/>
    <cellStyle name="Tusenskille 3 5 2" xfId="56" xr:uid="{00000000-0005-0000-0000-0000E2020000}"/>
    <cellStyle name="Tusenskille 3 5 2 10" xfId="787" xr:uid="{00000000-0005-0000-0000-0000E3020000}"/>
    <cellStyle name="Tusenskille 3 5 2 2" xfId="96" xr:uid="{00000000-0005-0000-0000-0000E4020000}"/>
    <cellStyle name="Tusenskille 3 5 2 2 2" xfId="188" xr:uid="{00000000-0005-0000-0000-0000E5020000}"/>
    <cellStyle name="Tusenskille 3 5 2 2 3" xfId="278" xr:uid="{00000000-0005-0000-0000-0000E6020000}"/>
    <cellStyle name="Tusenskille 3 5 2 2 4" xfId="368" xr:uid="{00000000-0005-0000-0000-0000E7020000}"/>
    <cellStyle name="Tusenskille 3 5 2 2 5" xfId="458" xr:uid="{00000000-0005-0000-0000-0000E8020000}"/>
    <cellStyle name="Tusenskille 3 5 2 2 6" xfId="548" xr:uid="{00000000-0005-0000-0000-0000E9020000}"/>
    <cellStyle name="Tusenskille 3 5 2 2 7" xfId="638" xr:uid="{00000000-0005-0000-0000-0000EA020000}"/>
    <cellStyle name="Tusenskille 3 5 2 2 8" xfId="728" xr:uid="{00000000-0005-0000-0000-0000EB020000}"/>
    <cellStyle name="Tusenskille 3 5 2 2 9" xfId="825" xr:uid="{00000000-0005-0000-0000-0000EC020000}"/>
    <cellStyle name="Tusenskille 3 5 2 3" xfId="151" xr:uid="{00000000-0005-0000-0000-0000ED020000}"/>
    <cellStyle name="Tusenskille 3 5 2 4" xfId="241" xr:uid="{00000000-0005-0000-0000-0000EE020000}"/>
    <cellStyle name="Tusenskille 3 5 2 5" xfId="331" xr:uid="{00000000-0005-0000-0000-0000EF020000}"/>
    <cellStyle name="Tusenskille 3 5 2 6" xfId="421" xr:uid="{00000000-0005-0000-0000-0000F0020000}"/>
    <cellStyle name="Tusenskille 3 5 2 7" xfId="511" xr:uid="{00000000-0005-0000-0000-0000F1020000}"/>
    <cellStyle name="Tusenskille 3 5 2 8" xfId="601" xr:uid="{00000000-0005-0000-0000-0000F2020000}"/>
    <cellStyle name="Tusenskille 3 5 2 9" xfId="691" xr:uid="{00000000-0005-0000-0000-0000F3020000}"/>
    <cellStyle name="Tusenskille 3 5 3" xfId="76" xr:uid="{00000000-0005-0000-0000-0000F4020000}"/>
    <cellStyle name="Tusenskille 3 5 3 2" xfId="169" xr:uid="{00000000-0005-0000-0000-0000F5020000}"/>
    <cellStyle name="Tusenskille 3 5 3 3" xfId="259" xr:uid="{00000000-0005-0000-0000-0000F6020000}"/>
    <cellStyle name="Tusenskille 3 5 3 4" xfId="349" xr:uid="{00000000-0005-0000-0000-0000F7020000}"/>
    <cellStyle name="Tusenskille 3 5 3 5" xfId="439" xr:uid="{00000000-0005-0000-0000-0000F8020000}"/>
    <cellStyle name="Tusenskille 3 5 3 6" xfId="529" xr:uid="{00000000-0005-0000-0000-0000F9020000}"/>
    <cellStyle name="Tusenskille 3 5 3 7" xfId="619" xr:uid="{00000000-0005-0000-0000-0000FA020000}"/>
    <cellStyle name="Tusenskille 3 5 3 8" xfId="709" xr:uid="{00000000-0005-0000-0000-0000FB020000}"/>
    <cellStyle name="Tusenskille 3 5 3 9" xfId="806" xr:uid="{00000000-0005-0000-0000-0000FC020000}"/>
    <cellStyle name="Tusenskille 3 5 4" xfId="132" xr:uid="{00000000-0005-0000-0000-0000FD020000}"/>
    <cellStyle name="Tusenskille 3 5 5" xfId="222" xr:uid="{00000000-0005-0000-0000-0000FE020000}"/>
    <cellStyle name="Tusenskille 3 5 6" xfId="312" xr:uid="{00000000-0005-0000-0000-0000FF020000}"/>
    <cellStyle name="Tusenskille 3 5 7" xfId="402" xr:uid="{00000000-0005-0000-0000-000000030000}"/>
    <cellStyle name="Tusenskille 3 5 8" xfId="492" xr:uid="{00000000-0005-0000-0000-000001030000}"/>
    <cellStyle name="Tusenskille 3 5 9" xfId="582" xr:uid="{00000000-0005-0000-0000-000002030000}"/>
    <cellStyle name="Tusenskille 3 6" xfId="37" xr:uid="{00000000-0005-0000-0000-000003030000}"/>
    <cellStyle name="Tusenskille 3 6 10" xfId="675" xr:uid="{00000000-0005-0000-0000-000004030000}"/>
    <cellStyle name="Tusenskille 3 6 11" xfId="770" xr:uid="{00000000-0005-0000-0000-000005030000}"/>
    <cellStyle name="Tusenskille 3 6 2" xfId="59" xr:uid="{00000000-0005-0000-0000-000006030000}"/>
    <cellStyle name="Tusenskille 3 6 2 10" xfId="790" xr:uid="{00000000-0005-0000-0000-000007030000}"/>
    <cellStyle name="Tusenskille 3 6 2 2" xfId="99" xr:uid="{00000000-0005-0000-0000-000008030000}"/>
    <cellStyle name="Tusenskille 3 6 2 2 2" xfId="191" xr:uid="{00000000-0005-0000-0000-000009030000}"/>
    <cellStyle name="Tusenskille 3 6 2 2 3" xfId="281" xr:uid="{00000000-0005-0000-0000-00000A030000}"/>
    <cellStyle name="Tusenskille 3 6 2 2 4" xfId="371" xr:uid="{00000000-0005-0000-0000-00000B030000}"/>
    <cellStyle name="Tusenskille 3 6 2 2 5" xfId="461" xr:uid="{00000000-0005-0000-0000-00000C030000}"/>
    <cellStyle name="Tusenskille 3 6 2 2 6" xfId="551" xr:uid="{00000000-0005-0000-0000-00000D030000}"/>
    <cellStyle name="Tusenskille 3 6 2 2 7" xfId="641" xr:uid="{00000000-0005-0000-0000-00000E030000}"/>
    <cellStyle name="Tusenskille 3 6 2 2 8" xfId="731" xr:uid="{00000000-0005-0000-0000-00000F030000}"/>
    <cellStyle name="Tusenskille 3 6 2 2 9" xfId="828" xr:uid="{00000000-0005-0000-0000-000010030000}"/>
    <cellStyle name="Tusenskille 3 6 2 3" xfId="154" xr:uid="{00000000-0005-0000-0000-000011030000}"/>
    <cellStyle name="Tusenskille 3 6 2 4" xfId="244" xr:uid="{00000000-0005-0000-0000-000012030000}"/>
    <cellStyle name="Tusenskille 3 6 2 5" xfId="334" xr:uid="{00000000-0005-0000-0000-000013030000}"/>
    <cellStyle name="Tusenskille 3 6 2 6" xfId="424" xr:uid="{00000000-0005-0000-0000-000014030000}"/>
    <cellStyle name="Tusenskille 3 6 2 7" xfId="514" xr:uid="{00000000-0005-0000-0000-000015030000}"/>
    <cellStyle name="Tusenskille 3 6 2 8" xfId="604" xr:uid="{00000000-0005-0000-0000-000016030000}"/>
    <cellStyle name="Tusenskille 3 6 2 9" xfId="694" xr:uid="{00000000-0005-0000-0000-000017030000}"/>
    <cellStyle name="Tusenskille 3 6 3" xfId="79" xr:uid="{00000000-0005-0000-0000-000018030000}"/>
    <cellStyle name="Tusenskille 3 6 3 2" xfId="172" xr:uid="{00000000-0005-0000-0000-000019030000}"/>
    <cellStyle name="Tusenskille 3 6 3 3" xfId="262" xr:uid="{00000000-0005-0000-0000-00001A030000}"/>
    <cellStyle name="Tusenskille 3 6 3 4" xfId="352" xr:uid="{00000000-0005-0000-0000-00001B030000}"/>
    <cellStyle name="Tusenskille 3 6 3 5" xfId="442" xr:uid="{00000000-0005-0000-0000-00001C030000}"/>
    <cellStyle name="Tusenskille 3 6 3 6" xfId="532" xr:uid="{00000000-0005-0000-0000-00001D030000}"/>
    <cellStyle name="Tusenskille 3 6 3 7" xfId="622" xr:uid="{00000000-0005-0000-0000-00001E030000}"/>
    <cellStyle name="Tusenskille 3 6 3 8" xfId="712" xr:uid="{00000000-0005-0000-0000-00001F030000}"/>
    <cellStyle name="Tusenskille 3 6 3 9" xfId="809" xr:uid="{00000000-0005-0000-0000-000020030000}"/>
    <cellStyle name="Tusenskille 3 6 4" xfId="135" xr:uid="{00000000-0005-0000-0000-000021030000}"/>
    <cellStyle name="Tusenskille 3 6 5" xfId="225" xr:uid="{00000000-0005-0000-0000-000022030000}"/>
    <cellStyle name="Tusenskille 3 6 6" xfId="315" xr:uid="{00000000-0005-0000-0000-000023030000}"/>
    <cellStyle name="Tusenskille 3 6 7" xfId="405" xr:uid="{00000000-0005-0000-0000-000024030000}"/>
    <cellStyle name="Tusenskille 3 6 8" xfId="495" xr:uid="{00000000-0005-0000-0000-000025030000}"/>
    <cellStyle name="Tusenskille 3 6 9" xfId="585" xr:uid="{00000000-0005-0000-0000-000026030000}"/>
    <cellStyle name="Tusenskille 3 7" xfId="43" xr:uid="{00000000-0005-0000-0000-000027030000}"/>
    <cellStyle name="Tusenskille 3 7 10" xfId="775" xr:uid="{00000000-0005-0000-0000-000028030000}"/>
    <cellStyle name="Tusenskille 3 7 2" xfId="83" xr:uid="{00000000-0005-0000-0000-000029030000}"/>
    <cellStyle name="Tusenskille 3 7 2 2" xfId="176" xr:uid="{00000000-0005-0000-0000-00002A030000}"/>
    <cellStyle name="Tusenskille 3 7 2 3" xfId="266" xr:uid="{00000000-0005-0000-0000-00002B030000}"/>
    <cellStyle name="Tusenskille 3 7 2 4" xfId="356" xr:uid="{00000000-0005-0000-0000-00002C030000}"/>
    <cellStyle name="Tusenskille 3 7 2 5" xfId="446" xr:uid="{00000000-0005-0000-0000-00002D030000}"/>
    <cellStyle name="Tusenskille 3 7 2 6" xfId="536" xr:uid="{00000000-0005-0000-0000-00002E030000}"/>
    <cellStyle name="Tusenskille 3 7 2 7" xfId="626" xr:uid="{00000000-0005-0000-0000-00002F030000}"/>
    <cellStyle name="Tusenskille 3 7 2 8" xfId="716" xr:uid="{00000000-0005-0000-0000-000030030000}"/>
    <cellStyle name="Tusenskille 3 7 2 9" xfId="813" xr:uid="{00000000-0005-0000-0000-000031030000}"/>
    <cellStyle name="Tusenskille 3 7 3" xfId="139" xr:uid="{00000000-0005-0000-0000-000032030000}"/>
    <cellStyle name="Tusenskille 3 7 4" xfId="229" xr:uid="{00000000-0005-0000-0000-000033030000}"/>
    <cellStyle name="Tusenskille 3 7 5" xfId="319" xr:uid="{00000000-0005-0000-0000-000034030000}"/>
    <cellStyle name="Tusenskille 3 7 6" xfId="409" xr:uid="{00000000-0005-0000-0000-000035030000}"/>
    <cellStyle name="Tusenskille 3 7 7" xfId="499" xr:uid="{00000000-0005-0000-0000-000036030000}"/>
    <cellStyle name="Tusenskille 3 7 8" xfId="589" xr:uid="{00000000-0005-0000-0000-000037030000}"/>
    <cellStyle name="Tusenskille 3 7 9" xfId="679" xr:uid="{00000000-0005-0000-0000-000038030000}"/>
    <cellStyle name="Tusenskille 3 8" xfId="64" xr:uid="{00000000-0005-0000-0000-000039030000}"/>
    <cellStyle name="Tusenskille 3 8 2" xfId="157" xr:uid="{00000000-0005-0000-0000-00003A030000}"/>
    <cellStyle name="Tusenskille 3 8 3" xfId="247" xr:uid="{00000000-0005-0000-0000-00003B030000}"/>
    <cellStyle name="Tusenskille 3 8 4" xfId="337" xr:uid="{00000000-0005-0000-0000-00003C030000}"/>
    <cellStyle name="Tusenskille 3 8 5" xfId="427" xr:uid="{00000000-0005-0000-0000-00003D030000}"/>
    <cellStyle name="Tusenskille 3 8 6" xfId="517" xr:uid="{00000000-0005-0000-0000-00003E030000}"/>
    <cellStyle name="Tusenskille 3 8 7" xfId="607" xr:uid="{00000000-0005-0000-0000-00003F030000}"/>
    <cellStyle name="Tusenskille 3 8 8" xfId="697" xr:uid="{00000000-0005-0000-0000-000040030000}"/>
    <cellStyle name="Tusenskille 3 8 9" xfId="794" xr:uid="{00000000-0005-0000-0000-000041030000}"/>
    <cellStyle name="Tusenskille 3 9" xfId="102" xr:uid="{00000000-0005-0000-0000-000042030000}"/>
    <cellStyle name="Tusenskille 3 9 2" xfId="194" xr:uid="{00000000-0005-0000-0000-000043030000}"/>
    <cellStyle name="Tusenskille 3 9 3" xfId="284" xr:uid="{00000000-0005-0000-0000-000044030000}"/>
    <cellStyle name="Tusenskille 3 9 4" xfId="374" xr:uid="{00000000-0005-0000-0000-000045030000}"/>
    <cellStyle name="Tusenskille 3 9 5" xfId="464" xr:uid="{00000000-0005-0000-0000-000046030000}"/>
    <cellStyle name="Tusenskille 3 9 6" xfId="554" xr:uid="{00000000-0005-0000-0000-000047030000}"/>
    <cellStyle name="Tusenskille 3 9 7" xfId="644" xr:uid="{00000000-0005-0000-0000-000048030000}"/>
    <cellStyle name="Tusenskille 3 9 8" xfId="734" xr:uid="{00000000-0005-0000-0000-000049030000}"/>
    <cellStyle name="Tusenskille 3 9 9" xfId="831" xr:uid="{00000000-0005-0000-0000-00004A030000}"/>
    <cellStyle name="Tusenskille 4" xfId="17" xr:uid="{00000000-0005-0000-0000-00004B030000}"/>
    <cellStyle name="Tusenskille 4 2" xfId="753" xr:uid="{00000000-0005-0000-0000-00004C030000}"/>
    <cellStyle name="Tusenskille 5" xfId="13" xr:uid="{00000000-0005-0000-0000-00004D030000}"/>
    <cellStyle name="Tusenskille 5 2" xfId="749" xr:uid="{00000000-0005-0000-0000-00004E030000}"/>
    <cellStyle name="Tusenskille 6" xfId="115" xr:uid="{00000000-0005-0000-0000-00004F030000}"/>
    <cellStyle name="TusenskilleFjernNull" xfId="846" xr:uid="{00000000-0005-0000-0000-000050030000}"/>
  </cellStyles>
  <dxfs count="15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43"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Figurer!$M$8</c:f>
              <c:strCache>
                <c:ptCount val="1"/>
                <c:pt idx="0">
                  <c:v>2018</c:v>
                </c:pt>
              </c:strCache>
            </c:strRef>
          </c:tx>
          <c:invertIfNegative val="0"/>
          <c:cat>
            <c:strRef>
              <c:f>Figurer!$L$10:$L$30</c:f>
              <c:strCache>
                <c:ptCount val="21"/>
                <c:pt idx="0">
                  <c:v>Danica Pensjon</c:v>
                </c:pt>
                <c:pt idx="1">
                  <c:v>DNB Liv</c:v>
                </c:pt>
                <c:pt idx="2">
                  <c:v>Eika Forsikring</c:v>
                </c:pt>
                <c:pt idx="3">
                  <c:v>Frende Livsfors</c:v>
                </c:pt>
                <c:pt idx="4">
                  <c:v>Frende Skade</c:v>
                </c:pt>
                <c:pt idx="5">
                  <c:v>Gjensidige Fors</c:v>
                </c:pt>
                <c:pt idx="6">
                  <c:v>Gjensidige Pensj</c:v>
                </c:pt>
                <c:pt idx="7">
                  <c:v>Handelsb Liv</c:v>
                </c:pt>
                <c:pt idx="8">
                  <c:v>If Skadefors</c:v>
                </c:pt>
                <c:pt idx="9">
                  <c:v>KLP</c:v>
                </c:pt>
                <c:pt idx="10">
                  <c:v>KLP Bedriftsp</c:v>
                </c:pt>
                <c:pt idx="11">
                  <c:v>KLP Skadef</c:v>
                </c:pt>
                <c:pt idx="12">
                  <c:v>Landbruksfors.</c:v>
                </c:pt>
                <c:pt idx="13">
                  <c:v>NEMI</c:v>
                </c:pt>
                <c:pt idx="14">
                  <c:v>Nordea Liv</c:v>
                </c:pt>
                <c:pt idx="15">
                  <c:v>OPF</c:v>
                </c:pt>
                <c:pt idx="16">
                  <c:v>Protector Fors</c:v>
                </c:pt>
                <c:pt idx="17">
                  <c:v>SpareBank 1</c:v>
                </c:pt>
                <c:pt idx="18">
                  <c:v>Storebrand </c:v>
                </c:pt>
                <c:pt idx="19">
                  <c:v>Telenor Fors</c:v>
                </c:pt>
                <c:pt idx="20">
                  <c:v>Tryg Fors</c:v>
                </c:pt>
              </c:strCache>
            </c:strRef>
          </c:cat>
          <c:val>
            <c:numRef>
              <c:f>Figurer!$M$10:$M$30</c:f>
              <c:numCache>
                <c:formatCode>#,##0</c:formatCode>
                <c:ptCount val="21"/>
                <c:pt idx="0">
                  <c:v>207699.397</c:v>
                </c:pt>
                <c:pt idx="1">
                  <c:v>2678691</c:v>
                </c:pt>
                <c:pt idx="2">
                  <c:v>167974</c:v>
                </c:pt>
                <c:pt idx="3">
                  <c:v>461898</c:v>
                </c:pt>
                <c:pt idx="4">
                  <c:v>5092</c:v>
                </c:pt>
                <c:pt idx="5">
                  <c:v>1211719</c:v>
                </c:pt>
                <c:pt idx="6">
                  <c:v>315310</c:v>
                </c:pt>
                <c:pt idx="7">
                  <c:v>19122</c:v>
                </c:pt>
                <c:pt idx="8">
                  <c:v>273642.10161000001</c:v>
                </c:pt>
                <c:pt idx="9">
                  <c:v>21895155.24456</c:v>
                </c:pt>
                <c:pt idx="10">
                  <c:v>46821</c:v>
                </c:pt>
                <c:pt idx="11">
                  <c:v>119515</c:v>
                </c:pt>
                <c:pt idx="12">
                  <c:v>23683</c:v>
                </c:pt>
                <c:pt idx="13">
                  <c:v>1012</c:v>
                </c:pt>
                <c:pt idx="14">
                  <c:v>911121.95053652162</c:v>
                </c:pt>
                <c:pt idx="15">
                  <c:v>1444566</c:v>
                </c:pt>
                <c:pt idx="16">
                  <c:v>251893.27284613601</c:v>
                </c:pt>
                <c:pt idx="17">
                  <c:v>1452699.33066</c:v>
                </c:pt>
                <c:pt idx="18">
                  <c:v>3517282.2279999997</c:v>
                </c:pt>
                <c:pt idx="19">
                  <c:v>20446</c:v>
                </c:pt>
                <c:pt idx="20">
                  <c:v>458835</c:v>
                </c:pt>
              </c:numCache>
            </c:numRef>
          </c:val>
          <c:extLst>
            <c:ext xmlns:c16="http://schemas.microsoft.com/office/drawing/2014/chart" uri="{C3380CC4-5D6E-409C-BE32-E72D297353CC}">
              <c16:uniqueId val="{00000002-93AE-4CD9-98AD-A52686D1F9FB}"/>
            </c:ext>
          </c:extLst>
        </c:ser>
        <c:ser>
          <c:idx val="1"/>
          <c:order val="1"/>
          <c:tx>
            <c:strRef>
              <c:f>Figurer!$N$8</c:f>
              <c:strCache>
                <c:ptCount val="1"/>
                <c:pt idx="0">
                  <c:v>2019</c:v>
                </c:pt>
              </c:strCache>
            </c:strRef>
          </c:tx>
          <c:invertIfNegative val="0"/>
          <c:cat>
            <c:strRef>
              <c:f>Figurer!$L$10:$L$30</c:f>
              <c:strCache>
                <c:ptCount val="21"/>
                <c:pt idx="0">
                  <c:v>Danica Pensjon</c:v>
                </c:pt>
                <c:pt idx="1">
                  <c:v>DNB Liv</c:v>
                </c:pt>
                <c:pt idx="2">
                  <c:v>Eika Forsikring</c:v>
                </c:pt>
                <c:pt idx="3">
                  <c:v>Frende Livsfors</c:v>
                </c:pt>
                <c:pt idx="4">
                  <c:v>Frende Skade</c:v>
                </c:pt>
                <c:pt idx="5">
                  <c:v>Gjensidige Fors</c:v>
                </c:pt>
                <c:pt idx="6">
                  <c:v>Gjensidige Pensj</c:v>
                </c:pt>
                <c:pt idx="7">
                  <c:v>Handelsb Liv</c:v>
                </c:pt>
                <c:pt idx="8">
                  <c:v>If Skadefors</c:v>
                </c:pt>
                <c:pt idx="9">
                  <c:v>KLP</c:v>
                </c:pt>
                <c:pt idx="10">
                  <c:v>KLP Bedriftsp</c:v>
                </c:pt>
                <c:pt idx="11">
                  <c:v>KLP Skadef</c:v>
                </c:pt>
                <c:pt idx="12">
                  <c:v>Landbruksfors.</c:v>
                </c:pt>
                <c:pt idx="13">
                  <c:v>NEMI</c:v>
                </c:pt>
                <c:pt idx="14">
                  <c:v>Nordea Liv</c:v>
                </c:pt>
                <c:pt idx="15">
                  <c:v>OPF</c:v>
                </c:pt>
                <c:pt idx="16">
                  <c:v>Protector Fors</c:v>
                </c:pt>
                <c:pt idx="17">
                  <c:v>SpareBank 1</c:v>
                </c:pt>
                <c:pt idx="18">
                  <c:v>Storebrand </c:v>
                </c:pt>
                <c:pt idx="19">
                  <c:v>Telenor Fors</c:v>
                </c:pt>
                <c:pt idx="20">
                  <c:v>Tryg Fors</c:v>
                </c:pt>
              </c:strCache>
            </c:strRef>
          </c:cat>
          <c:val>
            <c:numRef>
              <c:f>Figurer!$N$10:$N$30</c:f>
              <c:numCache>
                <c:formatCode>#,##0</c:formatCode>
                <c:ptCount val="21"/>
                <c:pt idx="0">
                  <c:v>211735.83299999998</c:v>
                </c:pt>
                <c:pt idx="1">
                  <c:v>2712593.8971199999</c:v>
                </c:pt>
                <c:pt idx="2">
                  <c:v>192435</c:v>
                </c:pt>
                <c:pt idx="3">
                  <c:v>491921</c:v>
                </c:pt>
                <c:pt idx="4">
                  <c:v>1977</c:v>
                </c:pt>
                <c:pt idx="5">
                  <c:v>1200340</c:v>
                </c:pt>
                <c:pt idx="6">
                  <c:v>350587.6</c:v>
                </c:pt>
                <c:pt idx="7">
                  <c:v>18102</c:v>
                </c:pt>
                <c:pt idx="8">
                  <c:v>278836.821</c:v>
                </c:pt>
                <c:pt idx="9">
                  <c:v>21744313.454720002</c:v>
                </c:pt>
                <c:pt idx="10">
                  <c:v>47990</c:v>
                </c:pt>
                <c:pt idx="11">
                  <c:v>154391</c:v>
                </c:pt>
                <c:pt idx="12">
                  <c:v>26907</c:v>
                </c:pt>
                <c:pt idx="13">
                  <c:v>9667.0010000000002</c:v>
                </c:pt>
                <c:pt idx="14">
                  <c:v>924775.23482409364</c:v>
                </c:pt>
                <c:pt idx="15">
                  <c:v>1806904</c:v>
                </c:pt>
                <c:pt idx="16">
                  <c:v>254608.63609938539</c:v>
                </c:pt>
                <c:pt idx="17">
                  <c:v>1574350.09069</c:v>
                </c:pt>
                <c:pt idx="18">
                  <c:v>3421913.84</c:v>
                </c:pt>
                <c:pt idx="19">
                  <c:v>0</c:v>
                </c:pt>
                <c:pt idx="20">
                  <c:v>543064</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Figurer!$M$36</c:f>
              <c:strCache>
                <c:ptCount val="1"/>
                <c:pt idx="0">
                  <c:v>2018</c:v>
                </c:pt>
              </c:strCache>
            </c:strRef>
          </c:tx>
          <c:invertIfNegative val="0"/>
          <c:cat>
            <c:strRef>
              <c:f>Figurer!$L$37:$L$46</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Figurer!$M$37:$M$46</c:f>
              <c:numCache>
                <c:formatCode>#,##0</c:formatCode>
                <c:ptCount val="10"/>
                <c:pt idx="0">
                  <c:v>930551.38800000004</c:v>
                </c:pt>
                <c:pt idx="1">
                  <c:v>4208747</c:v>
                </c:pt>
                <c:pt idx="2">
                  <c:v>178093</c:v>
                </c:pt>
                <c:pt idx="3">
                  <c:v>1378089</c:v>
                </c:pt>
                <c:pt idx="4">
                  <c:v>90028.570999999996</c:v>
                </c:pt>
                <c:pt idx="5">
                  <c:v>210392</c:v>
                </c:pt>
                <c:pt idx="6">
                  <c:v>4286493.9119699998</c:v>
                </c:pt>
                <c:pt idx="7">
                  <c:v>73667</c:v>
                </c:pt>
                <c:pt idx="8">
                  <c:v>1866273.1100599999</c:v>
                </c:pt>
                <c:pt idx="9">
                  <c:v>5304820.9420000007</c:v>
                </c:pt>
              </c:numCache>
            </c:numRef>
          </c:val>
          <c:extLst>
            <c:ext xmlns:c16="http://schemas.microsoft.com/office/drawing/2014/chart" uri="{C3380CC4-5D6E-409C-BE32-E72D297353CC}">
              <c16:uniqueId val="{00000000-3971-4F9A-B5A3-CF52C774B823}"/>
            </c:ext>
          </c:extLst>
        </c:ser>
        <c:ser>
          <c:idx val="1"/>
          <c:order val="1"/>
          <c:tx>
            <c:strRef>
              <c:f>Figurer!$N$36</c:f>
              <c:strCache>
                <c:ptCount val="1"/>
                <c:pt idx="0">
                  <c:v>2019</c:v>
                </c:pt>
              </c:strCache>
            </c:strRef>
          </c:tx>
          <c:invertIfNegative val="0"/>
          <c:cat>
            <c:strRef>
              <c:f>Figurer!$L$37:$L$46</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Figurer!$N$37:$N$46</c:f>
              <c:numCache>
                <c:formatCode>#,##0</c:formatCode>
                <c:ptCount val="10"/>
                <c:pt idx="0">
                  <c:v>974428.50600000005</c:v>
                </c:pt>
                <c:pt idx="1">
                  <c:v>4802393.8430000003</c:v>
                </c:pt>
                <c:pt idx="2">
                  <c:v>196043</c:v>
                </c:pt>
                <c:pt idx="3">
                  <c:v>1561713.2</c:v>
                </c:pt>
                <c:pt idx="4">
                  <c:v>89130.341</c:v>
                </c:pt>
                <c:pt idx="5">
                  <c:v>267105</c:v>
                </c:pt>
                <c:pt idx="6">
                  <c:v>5841396.8032999998</c:v>
                </c:pt>
                <c:pt idx="7">
                  <c:v>69806.938299999994</c:v>
                </c:pt>
                <c:pt idx="8">
                  <c:v>2141160.6392800002</c:v>
                </c:pt>
                <c:pt idx="9">
                  <c:v>5450501.3129999992</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Figurer!$M$59</c:f>
              <c:strCache>
                <c:ptCount val="1"/>
                <c:pt idx="0">
                  <c:v>2018</c:v>
                </c:pt>
              </c:strCache>
            </c:strRef>
          </c:tx>
          <c:invertIfNegative val="0"/>
          <c:cat>
            <c:strRef>
              <c:f>Figurer!$L$60:$L$74</c:f>
              <c:strCache>
                <c:ptCount val="15"/>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KLP Skadef</c:v>
                </c:pt>
                <c:pt idx="11">
                  <c:v>Nordea Liv</c:v>
                </c:pt>
                <c:pt idx="12">
                  <c:v>OPF</c:v>
                </c:pt>
                <c:pt idx="13">
                  <c:v>SpareBank 1</c:v>
                </c:pt>
                <c:pt idx="14">
                  <c:v>Storebrand </c:v>
                </c:pt>
              </c:strCache>
            </c:strRef>
          </c:cat>
          <c:val>
            <c:numRef>
              <c:f>Figurer!$M$60:$M$74</c:f>
              <c:numCache>
                <c:formatCode>#,##0</c:formatCode>
                <c:ptCount val="15"/>
                <c:pt idx="0">
                  <c:v>1062443.889</c:v>
                </c:pt>
                <c:pt idx="1">
                  <c:v>201995081</c:v>
                </c:pt>
                <c:pt idx="2">
                  <c:v>0</c:v>
                </c:pt>
                <c:pt idx="3">
                  <c:v>913292</c:v>
                </c:pt>
                <c:pt idx="4">
                  <c:v>0</c:v>
                </c:pt>
                <c:pt idx="5">
                  <c:v>6339478</c:v>
                </c:pt>
                <c:pt idx="6">
                  <c:v>22086</c:v>
                </c:pt>
                <c:pt idx="7">
                  <c:v>0</c:v>
                </c:pt>
                <c:pt idx="8">
                  <c:v>465567937.94161999</c:v>
                </c:pt>
                <c:pt idx="9">
                  <c:v>1675895</c:v>
                </c:pt>
                <c:pt idx="10">
                  <c:v>14510</c:v>
                </c:pt>
                <c:pt idx="11">
                  <c:v>49965829.999989569</c:v>
                </c:pt>
                <c:pt idx="12">
                  <c:v>72102299</c:v>
                </c:pt>
                <c:pt idx="13">
                  <c:v>19103233.845959999</c:v>
                </c:pt>
                <c:pt idx="14">
                  <c:v>181759928.14200002</c:v>
                </c:pt>
              </c:numCache>
            </c:numRef>
          </c:val>
          <c:extLst>
            <c:ext xmlns:c16="http://schemas.microsoft.com/office/drawing/2014/chart" uri="{C3380CC4-5D6E-409C-BE32-E72D297353CC}">
              <c16:uniqueId val="{00000000-F5D7-4882-A9B6-45C2F0317A05}"/>
            </c:ext>
          </c:extLst>
        </c:ser>
        <c:ser>
          <c:idx val="1"/>
          <c:order val="1"/>
          <c:tx>
            <c:strRef>
              <c:f>Figurer!$N$59</c:f>
              <c:strCache>
                <c:ptCount val="1"/>
                <c:pt idx="0">
                  <c:v>2019</c:v>
                </c:pt>
              </c:strCache>
            </c:strRef>
          </c:tx>
          <c:invertIfNegative val="0"/>
          <c:cat>
            <c:strRef>
              <c:f>Figurer!$L$60:$L$74</c:f>
              <c:strCache>
                <c:ptCount val="15"/>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KLP Skadef</c:v>
                </c:pt>
                <c:pt idx="11">
                  <c:v>Nordea Liv</c:v>
                </c:pt>
                <c:pt idx="12">
                  <c:v>OPF</c:v>
                </c:pt>
                <c:pt idx="13">
                  <c:v>SpareBank 1</c:v>
                </c:pt>
                <c:pt idx="14">
                  <c:v>Storebrand </c:v>
                </c:pt>
              </c:strCache>
            </c:strRef>
          </c:cat>
          <c:val>
            <c:numRef>
              <c:f>Figurer!$N$60:$N$74</c:f>
              <c:numCache>
                <c:formatCode>#,##0</c:formatCode>
                <c:ptCount val="15"/>
                <c:pt idx="0">
                  <c:v>1199454.547</c:v>
                </c:pt>
                <c:pt idx="1">
                  <c:v>199601126.12900001</c:v>
                </c:pt>
                <c:pt idx="2">
                  <c:v>0</c:v>
                </c:pt>
                <c:pt idx="3">
                  <c:v>1044889</c:v>
                </c:pt>
                <c:pt idx="4">
                  <c:v>0</c:v>
                </c:pt>
                <c:pt idx="5">
                  <c:v>6946187</c:v>
                </c:pt>
                <c:pt idx="6">
                  <c:v>16959.64603199068</c:v>
                </c:pt>
                <c:pt idx="7">
                  <c:v>0</c:v>
                </c:pt>
                <c:pt idx="8">
                  <c:v>491892859.81856</c:v>
                </c:pt>
                <c:pt idx="9">
                  <c:v>1731438</c:v>
                </c:pt>
                <c:pt idx="10">
                  <c:v>30106</c:v>
                </c:pt>
                <c:pt idx="11">
                  <c:v>51019701.999889746</c:v>
                </c:pt>
                <c:pt idx="12">
                  <c:v>75627238.392739996</c:v>
                </c:pt>
                <c:pt idx="13">
                  <c:v>20684132.106460001</c:v>
                </c:pt>
                <c:pt idx="14">
                  <c:v>181337324.64900005</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Figurer!$M$84</c:f>
              <c:strCache>
                <c:ptCount val="1"/>
                <c:pt idx="0">
                  <c:v>2018</c:v>
                </c:pt>
              </c:strCache>
            </c:strRef>
          </c:tx>
          <c:invertIfNegative val="0"/>
          <c:cat>
            <c:strRef>
              <c:f>Figurer!$L$85:$L$94</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Figurer!$M$85:$M$94</c:f>
              <c:numCache>
                <c:formatCode>#,##0</c:formatCode>
                <c:ptCount val="10"/>
                <c:pt idx="0">
                  <c:v>17266330.386</c:v>
                </c:pt>
                <c:pt idx="1">
                  <c:v>78277486.437999994</c:v>
                </c:pt>
                <c:pt idx="2">
                  <c:v>3320021</c:v>
                </c:pt>
                <c:pt idx="3">
                  <c:v>23904710</c:v>
                </c:pt>
                <c:pt idx="4">
                  <c:v>2451095.8211500002</c:v>
                </c:pt>
                <c:pt idx="5">
                  <c:v>3075141</c:v>
                </c:pt>
                <c:pt idx="6">
                  <c:v>60641550</c:v>
                </c:pt>
                <c:pt idx="7">
                  <c:v>2163599</c:v>
                </c:pt>
                <c:pt idx="8">
                  <c:v>28011120.555509999</c:v>
                </c:pt>
                <c:pt idx="9">
                  <c:v>93597754.061000004</c:v>
                </c:pt>
              </c:numCache>
            </c:numRef>
          </c:val>
          <c:extLst>
            <c:ext xmlns:c16="http://schemas.microsoft.com/office/drawing/2014/chart" uri="{C3380CC4-5D6E-409C-BE32-E72D297353CC}">
              <c16:uniqueId val="{00000000-62B1-4395-80F9-424B1553CC96}"/>
            </c:ext>
          </c:extLst>
        </c:ser>
        <c:ser>
          <c:idx val="1"/>
          <c:order val="1"/>
          <c:tx>
            <c:strRef>
              <c:f>Figurer!$N$84</c:f>
              <c:strCache>
                <c:ptCount val="1"/>
                <c:pt idx="0">
                  <c:v>2019</c:v>
                </c:pt>
              </c:strCache>
            </c:strRef>
          </c:tx>
          <c:invertIfNegative val="0"/>
          <c:cat>
            <c:strRef>
              <c:f>Figurer!$L$85:$L$94</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Figurer!$N$85:$N$94</c:f>
              <c:numCache>
                <c:formatCode>#,##0</c:formatCode>
                <c:ptCount val="10"/>
                <c:pt idx="0">
                  <c:v>19030607.528999999</c:v>
                </c:pt>
                <c:pt idx="1">
                  <c:v>89715002.026999995</c:v>
                </c:pt>
                <c:pt idx="2">
                  <c:v>3826787</c:v>
                </c:pt>
                <c:pt idx="3">
                  <c:v>27221258.799999997</c:v>
                </c:pt>
                <c:pt idx="4">
                  <c:v>2587219.1831499999</c:v>
                </c:pt>
                <c:pt idx="5">
                  <c:v>4242225</c:v>
                </c:pt>
                <c:pt idx="6">
                  <c:v>68352090.000000089</c:v>
                </c:pt>
                <c:pt idx="7">
                  <c:v>2307693.03969</c:v>
                </c:pt>
                <c:pt idx="8">
                  <c:v>32200221.129759997</c:v>
                </c:pt>
                <c:pt idx="9">
                  <c:v>103774197.524</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Figurer!$M$110</c:f>
              <c:strCache>
                <c:ptCount val="1"/>
                <c:pt idx="0">
                  <c:v>2018</c:v>
                </c:pt>
              </c:strCache>
            </c:strRef>
          </c:tx>
          <c:invertIfNegative val="0"/>
          <c:cat>
            <c:strRef>
              <c:f>Figurer!$L$111:$L$118</c:f>
              <c:strCache>
                <c:ptCount val="8"/>
                <c:pt idx="0">
                  <c:v>Danica Pensjon</c:v>
                </c:pt>
                <c:pt idx="1">
                  <c:v>DNB Liv</c:v>
                </c:pt>
                <c:pt idx="2">
                  <c:v>Gjensidige Pensj</c:v>
                </c:pt>
                <c:pt idx="3">
                  <c:v>KLP</c:v>
                </c:pt>
                <c:pt idx="4">
                  <c:v>KLP Bedriftsp</c:v>
                </c:pt>
                <c:pt idx="5">
                  <c:v>Nordea Liv</c:v>
                </c:pt>
                <c:pt idx="6">
                  <c:v>SpareBank 1</c:v>
                </c:pt>
                <c:pt idx="7">
                  <c:v>Storebrand </c:v>
                </c:pt>
              </c:strCache>
            </c:strRef>
          </c:cat>
          <c:val>
            <c:numRef>
              <c:f>Figurer!$M$111:$M$118</c:f>
              <c:numCache>
                <c:formatCode>#,##0</c:formatCode>
                <c:ptCount val="8"/>
                <c:pt idx="0">
                  <c:v>1705.4950000000008</c:v>
                </c:pt>
                <c:pt idx="1">
                  <c:v>63897</c:v>
                </c:pt>
                <c:pt idx="2">
                  <c:v>25183</c:v>
                </c:pt>
                <c:pt idx="3">
                  <c:v>-491437.522</c:v>
                </c:pt>
                <c:pt idx="4">
                  <c:v>491</c:v>
                </c:pt>
                <c:pt idx="5">
                  <c:v>-97885.510340000008</c:v>
                </c:pt>
                <c:pt idx="6">
                  <c:v>-24690.168249999999</c:v>
                </c:pt>
                <c:pt idx="7">
                  <c:v>-44260.928000000007</c:v>
                </c:pt>
              </c:numCache>
            </c:numRef>
          </c:val>
          <c:extLst>
            <c:ext xmlns:c16="http://schemas.microsoft.com/office/drawing/2014/chart" uri="{C3380CC4-5D6E-409C-BE32-E72D297353CC}">
              <c16:uniqueId val="{00000000-2BF8-4278-857F-91A0E7196849}"/>
            </c:ext>
          </c:extLst>
        </c:ser>
        <c:ser>
          <c:idx val="1"/>
          <c:order val="1"/>
          <c:tx>
            <c:strRef>
              <c:f>Figurer!$N$110</c:f>
              <c:strCache>
                <c:ptCount val="1"/>
                <c:pt idx="0">
                  <c:v>2019</c:v>
                </c:pt>
              </c:strCache>
            </c:strRef>
          </c:tx>
          <c:invertIfNegative val="0"/>
          <c:cat>
            <c:strRef>
              <c:f>Figurer!$L$111:$L$118</c:f>
              <c:strCache>
                <c:ptCount val="8"/>
                <c:pt idx="0">
                  <c:v>Danica Pensjon</c:v>
                </c:pt>
                <c:pt idx="1">
                  <c:v>DNB Liv</c:v>
                </c:pt>
                <c:pt idx="2">
                  <c:v>Gjensidige Pensj</c:v>
                </c:pt>
                <c:pt idx="3">
                  <c:v>KLP</c:v>
                </c:pt>
                <c:pt idx="4">
                  <c:v>KLP Bedriftsp</c:v>
                </c:pt>
                <c:pt idx="5">
                  <c:v>Nordea Liv</c:v>
                </c:pt>
                <c:pt idx="6">
                  <c:v>SpareBank 1</c:v>
                </c:pt>
                <c:pt idx="7">
                  <c:v>Storebrand </c:v>
                </c:pt>
              </c:strCache>
            </c:strRef>
          </c:cat>
          <c:val>
            <c:numRef>
              <c:f>Figurer!$N$111:$N$118</c:f>
              <c:numCache>
                <c:formatCode>#,##0</c:formatCode>
                <c:ptCount val="8"/>
                <c:pt idx="0">
                  <c:v>6109.9529999999995</c:v>
                </c:pt>
                <c:pt idx="1">
                  <c:v>104640</c:v>
                </c:pt>
                <c:pt idx="2">
                  <c:v>29298.6</c:v>
                </c:pt>
                <c:pt idx="3">
                  <c:v>-248064.62399999998</c:v>
                </c:pt>
                <c:pt idx="4">
                  <c:v>878</c:v>
                </c:pt>
                <c:pt idx="5">
                  <c:v>-14915.333700000001</c:v>
                </c:pt>
                <c:pt idx="6">
                  <c:v>-13521.344899999996</c:v>
                </c:pt>
                <c:pt idx="7">
                  <c:v>-83232.047999999981</c:v>
                </c:pt>
              </c:numCache>
            </c:numRef>
          </c:val>
          <c:extLst>
            <c:ext xmlns:c16="http://schemas.microsoft.com/office/drawing/2014/chart" uri="{C3380CC4-5D6E-409C-BE32-E72D297353CC}">
              <c16:uniqueId val="{00000000-0891-419B-84DB-F579F658812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9.6515177450644751E-2"/>
          <c:h val="4.553361351874527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Figurer!$M$135</c:f>
              <c:strCache>
                <c:ptCount val="1"/>
                <c:pt idx="0">
                  <c:v>2018</c:v>
                </c:pt>
              </c:strCache>
            </c:strRef>
          </c:tx>
          <c:invertIfNegative val="0"/>
          <c:cat>
            <c:strRef>
              <c:f>Figurer!$L$136:$L$144</c:f>
              <c:strCache>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Cache>
            </c:strRef>
          </c:cat>
          <c:val>
            <c:numRef>
              <c:f>Figurer!$M$136:$M$144</c:f>
              <c:numCache>
                <c:formatCode>#,##0</c:formatCode>
                <c:ptCount val="9"/>
                <c:pt idx="0">
                  <c:v>-129055.09700000001</c:v>
                </c:pt>
                <c:pt idx="1">
                  <c:v>-867214</c:v>
                </c:pt>
                <c:pt idx="2">
                  <c:v>-58437.728999999999</c:v>
                </c:pt>
                <c:pt idx="3">
                  <c:v>101669</c:v>
                </c:pt>
                <c:pt idx="4">
                  <c:v>160568</c:v>
                </c:pt>
                <c:pt idx="5">
                  <c:v>-410143.85060000001</c:v>
                </c:pt>
                <c:pt idx="6">
                  <c:v>100114</c:v>
                </c:pt>
                <c:pt idx="7">
                  <c:v>1294387.70279</c:v>
                </c:pt>
                <c:pt idx="8">
                  <c:v>-744724.32599999988</c:v>
                </c:pt>
              </c:numCache>
            </c:numRef>
          </c:val>
          <c:extLst>
            <c:ext xmlns:c16="http://schemas.microsoft.com/office/drawing/2014/chart" uri="{C3380CC4-5D6E-409C-BE32-E72D297353CC}">
              <c16:uniqueId val="{00000000-B400-4C26-965B-0553A4A37873}"/>
            </c:ext>
          </c:extLst>
        </c:ser>
        <c:ser>
          <c:idx val="1"/>
          <c:order val="1"/>
          <c:tx>
            <c:strRef>
              <c:f>Figurer!$N$135</c:f>
              <c:strCache>
                <c:ptCount val="1"/>
                <c:pt idx="0">
                  <c:v>2019</c:v>
                </c:pt>
              </c:strCache>
            </c:strRef>
          </c:tx>
          <c:invertIfNegative val="0"/>
          <c:cat>
            <c:strRef>
              <c:f>Figurer!$L$136:$L$144</c:f>
              <c:strCache>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Cache>
            </c:strRef>
          </c:cat>
          <c:val>
            <c:numRef>
              <c:f>Figurer!$N$136:$N$144</c:f>
              <c:numCache>
                <c:formatCode>#,##0</c:formatCode>
                <c:ptCount val="9"/>
                <c:pt idx="0">
                  <c:v>247084.22200000001</c:v>
                </c:pt>
                <c:pt idx="1">
                  <c:v>410023</c:v>
                </c:pt>
                <c:pt idx="2">
                  <c:v>45724</c:v>
                </c:pt>
                <c:pt idx="3">
                  <c:v>-401668.09999999986</c:v>
                </c:pt>
                <c:pt idx="4">
                  <c:v>263995</c:v>
                </c:pt>
                <c:pt idx="5">
                  <c:v>400449.70821000007</c:v>
                </c:pt>
                <c:pt idx="6">
                  <c:v>47887.002579999993</c:v>
                </c:pt>
                <c:pt idx="7">
                  <c:v>273876.59715999989</c:v>
                </c:pt>
                <c:pt idx="8">
                  <c:v>-1195960.9420000003</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523875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523875" y="9083675"/>
          <a:ext cx="365761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2. KVARTAL 2019 </a:t>
          </a:r>
          <a:r>
            <a:rPr lang="nb-NO" sz="1100" b="0">
              <a:effectLst/>
              <a:latin typeface="Arial"/>
              <a:ea typeface="ＭＳ 明朝"/>
              <a:cs typeface="Times New Roman"/>
            </a:rPr>
            <a:t>(05.09.2019)</a:t>
          </a:r>
          <a:r>
            <a:rPr lang="nb-NO" sz="1600" b="1">
              <a:effectLst/>
              <a:latin typeface="Arial"/>
              <a:ea typeface="ＭＳ 明朝"/>
              <a:cs typeface="Times New Roman"/>
            </a:rPr>
            <a:t> </a:t>
          </a:r>
        </a:p>
        <a:p>
          <a:pPr>
            <a:spcAft>
              <a:spcPts val="0"/>
            </a:spcAft>
          </a:pPr>
          <a:r>
            <a:rPr lang="nb-NO" sz="1200">
              <a:effectLst/>
              <a:ea typeface="ＭＳ 明朝"/>
              <a:cs typeface="Times New Roman"/>
            </a:rPr>
            <a:t>Sist</a:t>
          </a:r>
          <a:r>
            <a:rPr lang="nb-NO" sz="1200" baseline="0">
              <a:effectLst/>
              <a:ea typeface="ＭＳ 明朝"/>
              <a:cs typeface="Times New Roman"/>
            </a:rPr>
            <a:t> endret 28.01.2020</a:t>
          </a:r>
          <a:endParaRPr lang="nb-NO" sz="120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27</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31</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73</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57150</xdr:rowOff>
    </xdr:from>
    <xdr:to>
      <xdr:col>9</xdr:col>
      <xdr:colOff>123825</xdr:colOff>
      <xdr:row>100</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28575</xdr:rowOff>
    </xdr:from>
    <xdr:to>
      <xdr:col>9</xdr:col>
      <xdr:colOff>180975</xdr:colOff>
      <xdr:row>123</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57150</xdr:rowOff>
    </xdr:from>
    <xdr:to>
      <xdr:col>9</xdr:col>
      <xdr:colOff>171450</xdr:colOff>
      <xdr:row>149</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127000</xdr:rowOff>
    </xdr:from>
    <xdr:to>
      <xdr:col>0</xdr:col>
      <xdr:colOff>4064000</xdr:colOff>
      <xdr:row>40</xdr:row>
      <xdr:rowOff>74083</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62000"/>
          <a:ext cx="4053417" cy="10974916"/>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a:t>
          </a:r>
          <a:r>
            <a:rPr lang="nb-NO" sz="1200" b="0" i="0" strike="noStrike" baseline="0">
              <a:solidFill>
                <a:srgbClr val="000000"/>
              </a:solidFill>
              <a:latin typeface="Times New Roman"/>
              <a:cs typeface="Times New Roman"/>
            </a:rPr>
            <a:t> Bedriftspensjon AS</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Landbruksforsikring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NEMI</a:t>
          </a:r>
          <a:r>
            <a:rPr lang="nb-NO" sz="1200" b="0" i="0" strike="noStrike" baseline="0">
              <a:solidFill>
                <a:srgbClr val="000000"/>
              </a:solidFill>
              <a:latin typeface="Times New Roman"/>
              <a:cs typeface="Times New Roman"/>
            </a:rPr>
            <a:t> Forsikring (skadeselskap)</a:t>
          </a:r>
          <a:endParaRPr lang="nb-NO" sz="1200" b="0" i="0" strike="noStrike">
            <a:solidFill>
              <a:srgbClr val="000000"/>
            </a:solidFill>
            <a:latin typeface="Times New Roman"/>
            <a:cs typeface="Times New Roman"/>
          </a:endParaRP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Protector Forsikring</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 Bedriftspensjon AS</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Silver Pensjonsforsikring AS</a:t>
          </a: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Protector Forsikring</a:t>
          </a:r>
        </a:p>
        <a:p>
          <a:r>
            <a:rPr lang="nb-NO" sz="1100" u="none">
              <a:latin typeface="Times New Roman" panose="02020603050405020304" pitchFamily="18" charset="0"/>
              <a:cs typeface="Times New Roman" panose="02020603050405020304" pitchFamily="18" charset="0"/>
            </a:rPr>
            <a:t>Selskapet</a:t>
          </a:r>
          <a:r>
            <a:rPr lang="nb-NO" sz="1100" u="none" baseline="0">
              <a:latin typeface="Times New Roman" panose="02020603050405020304" pitchFamily="18" charset="0"/>
              <a:cs typeface="Times New Roman" panose="02020603050405020304" pitchFamily="18" charset="0"/>
            </a:rPr>
            <a:t> inngår i statistikken fra 2. kvartal 2018.</a:t>
          </a:r>
          <a:br>
            <a:rPr lang="nb-NO" sz="1100" u="none" baseline="0">
              <a:latin typeface="Times New Roman" panose="02020603050405020304" pitchFamily="18" charset="0"/>
              <a:cs typeface="Times New Roman" panose="02020603050405020304" pitchFamily="18" charset="0"/>
            </a:rPr>
          </a:br>
          <a:endParaRPr lang="nb-NO" sz="1100" u="none">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I55"/>
  <sheetViews>
    <sheetView showGridLines="0" topLeftCell="A16" workbookViewId="0">
      <selection activeCell="L39" sqref="L39"/>
    </sheetView>
  </sheetViews>
  <sheetFormatPr baseColWidth="10" defaultColWidth="11.42578125" defaultRowHeight="12.75" x14ac:dyDescent="0.2"/>
  <sheetData>
    <row r="1" spans="2:9" s="51" customFormat="1" x14ac:dyDescent="0.2"/>
    <row r="2" spans="2:9" s="51" customFormat="1" x14ac:dyDescent="0.2"/>
    <row r="3" spans="2:9" s="51" customFormat="1" x14ac:dyDescent="0.2"/>
    <row r="4" spans="2:9" s="51" customFormat="1" x14ac:dyDescent="0.2"/>
    <row r="5" spans="2:9" s="51" customFormat="1" x14ac:dyDescent="0.2">
      <c r="B5" s="52"/>
      <c r="C5" s="52"/>
      <c r="D5" s="52"/>
      <c r="E5" s="52"/>
      <c r="F5" s="52"/>
      <c r="G5" s="52"/>
      <c r="H5" s="52"/>
    </row>
    <row r="6" spans="2:9" s="51" customFormat="1" ht="23.25" x14ac:dyDescent="0.35">
      <c r="B6" s="53"/>
      <c r="C6" s="52"/>
      <c r="D6" s="52"/>
      <c r="E6" s="52"/>
      <c r="F6" s="52"/>
      <c r="G6" s="52"/>
      <c r="H6" s="52"/>
      <c r="I6" s="54"/>
    </row>
    <row r="7" spans="2:9" s="51" customFormat="1" x14ac:dyDescent="0.2">
      <c r="B7" s="52"/>
      <c r="C7" s="52"/>
      <c r="D7" s="52"/>
      <c r="E7" s="52"/>
      <c r="F7" s="52"/>
      <c r="G7" s="52"/>
      <c r="H7" s="52"/>
      <c r="I7" s="52"/>
    </row>
    <row r="8" spans="2:9" s="51" customFormat="1" x14ac:dyDescent="0.2">
      <c r="B8" s="52"/>
      <c r="C8" s="52"/>
      <c r="D8" s="52"/>
      <c r="F8" s="52"/>
      <c r="G8" s="52"/>
      <c r="H8" s="52"/>
    </row>
    <row r="9" spans="2:9" s="51" customFormat="1" x14ac:dyDescent="0.2">
      <c r="B9" s="52"/>
      <c r="C9" s="52"/>
      <c r="D9" s="52"/>
      <c r="E9" s="52"/>
      <c r="F9" s="52"/>
      <c r="G9" s="52"/>
      <c r="H9" s="52"/>
    </row>
    <row r="10" spans="2:9" s="51" customFormat="1" ht="23.25" x14ac:dyDescent="0.35">
      <c r="B10" s="52"/>
      <c r="C10" s="52"/>
      <c r="D10" s="52"/>
      <c r="I10" s="54"/>
    </row>
    <row r="11" spans="2:9" s="51" customFormat="1" x14ac:dyDescent="0.2">
      <c r="B11" s="52"/>
      <c r="C11" s="52"/>
      <c r="D11" s="52"/>
    </row>
    <row r="12" spans="2:9" s="51" customFormat="1" ht="27" customHeight="1" x14ac:dyDescent="0.35">
      <c r="B12" s="52"/>
      <c r="C12" s="52"/>
      <c r="D12" s="52"/>
      <c r="E12" s="52"/>
      <c r="F12" s="52"/>
      <c r="G12" s="52"/>
      <c r="H12" s="52"/>
      <c r="I12" s="54"/>
    </row>
    <row r="13" spans="2:9" s="51" customFormat="1" ht="19.5" customHeight="1" x14ac:dyDescent="0.35">
      <c r="B13" s="52"/>
      <c r="I13" s="54"/>
    </row>
    <row r="14" spans="2:9" s="51" customFormat="1" x14ac:dyDescent="0.2">
      <c r="B14" s="52"/>
      <c r="C14" s="52"/>
      <c r="D14" s="52"/>
      <c r="F14" s="52"/>
      <c r="G14" s="52"/>
      <c r="H14" s="52"/>
    </row>
    <row r="15" spans="2:9" s="51" customFormat="1" x14ac:dyDescent="0.2">
      <c r="B15" s="52"/>
      <c r="C15" s="52"/>
      <c r="D15" s="52"/>
      <c r="F15" s="52"/>
      <c r="G15" s="52"/>
      <c r="H15" s="52"/>
      <c r="I15" s="52"/>
    </row>
    <row r="16" spans="2:9" s="51" customFormat="1" ht="34.5" x14ac:dyDescent="0.45">
      <c r="B16" s="52"/>
      <c r="C16" s="52"/>
      <c r="D16" s="52"/>
      <c r="E16" s="55"/>
      <c r="F16" s="52"/>
      <c r="G16" s="52"/>
      <c r="H16" s="52"/>
      <c r="I16" s="52"/>
    </row>
    <row r="17" spans="2:9" s="51" customFormat="1" ht="33" x14ac:dyDescent="0.45">
      <c r="B17" s="52"/>
      <c r="C17" s="52"/>
      <c r="D17" s="52"/>
      <c r="E17" s="56"/>
      <c r="F17" s="52"/>
      <c r="G17" s="52"/>
      <c r="H17" s="52"/>
      <c r="I17" s="52"/>
    </row>
    <row r="18" spans="2:9" s="51" customFormat="1" ht="33" x14ac:dyDescent="0.45">
      <c r="D18" s="56"/>
    </row>
    <row r="19" spans="2:9" s="51" customFormat="1" ht="18.75" x14ac:dyDescent="0.3">
      <c r="E19" s="57"/>
      <c r="I19" s="58"/>
    </row>
    <row r="20" spans="2:9" s="51" customFormat="1" x14ac:dyDescent="0.2"/>
    <row r="21" spans="2:9" s="51" customFormat="1" x14ac:dyDescent="0.2">
      <c r="E21" s="59"/>
    </row>
    <row r="22" spans="2:9" s="51" customFormat="1" ht="26.25" x14ac:dyDescent="0.4">
      <c r="E22" s="60"/>
    </row>
    <row r="23" spans="2:9" s="51" customFormat="1" x14ac:dyDescent="0.2"/>
    <row r="24" spans="2:9" s="51" customFormat="1" x14ac:dyDescent="0.2"/>
    <row r="25" spans="2:9" s="51" customFormat="1" ht="18.75" x14ac:dyDescent="0.3">
      <c r="E25" s="61"/>
    </row>
    <row r="26" spans="2:9" s="51" customFormat="1" ht="18.75" x14ac:dyDescent="0.3">
      <c r="E26" s="62"/>
    </row>
    <row r="27" spans="2:9" s="51" customFormat="1" x14ac:dyDescent="0.2"/>
    <row r="28" spans="2:9" s="51" customFormat="1" x14ac:dyDescent="0.2"/>
    <row r="29" spans="2:9" s="51" customFormat="1" x14ac:dyDescent="0.2"/>
    <row r="30" spans="2:9" s="51" customFormat="1" x14ac:dyDescent="0.2"/>
    <row r="31" spans="2:9" s="51" customFormat="1" x14ac:dyDescent="0.2"/>
    <row r="32" spans="2:9" s="51" customFormat="1" x14ac:dyDescent="0.2"/>
    <row r="33" spans="1:9" s="51" customFormat="1" ht="35.25" x14ac:dyDescent="0.2">
      <c r="A33" s="63"/>
    </row>
    <row r="34" spans="1:9" s="51" customFormat="1" x14ac:dyDescent="0.2"/>
    <row r="35" spans="1:9" s="51" customFormat="1" x14ac:dyDescent="0.2"/>
    <row r="36" spans="1:9" s="51" customFormat="1" ht="33" x14ac:dyDescent="0.2">
      <c r="B36" s="64"/>
    </row>
    <row r="37" spans="1:9" s="51" customFormat="1" x14ac:dyDescent="0.2"/>
    <row r="38" spans="1:9" s="51" customFormat="1" x14ac:dyDescent="0.2"/>
    <row r="39" spans="1:9" s="51" customFormat="1" ht="18" x14ac:dyDescent="0.25">
      <c r="B39" s="65"/>
    </row>
    <row r="40" spans="1:9" s="51" customFormat="1" x14ac:dyDescent="0.2"/>
    <row r="41" spans="1:9" s="51" customFormat="1" ht="18.75" x14ac:dyDescent="0.3">
      <c r="I41" s="66"/>
    </row>
    <row r="42" spans="1:9" s="51" customFormat="1" x14ac:dyDescent="0.2"/>
    <row r="43" spans="1:9" s="51" customFormat="1" ht="18.75" x14ac:dyDescent="0.3">
      <c r="B43" s="673"/>
      <c r="C43" s="673"/>
      <c r="D43" s="673"/>
    </row>
    <row r="44" spans="1:9" s="51" customFormat="1" x14ac:dyDescent="0.2"/>
    <row r="45" spans="1:9" s="51" customFormat="1" x14ac:dyDescent="0.2"/>
    <row r="46" spans="1:9" s="51" customFormat="1" x14ac:dyDescent="0.2"/>
    <row r="47" spans="1:9" s="51" customFormat="1" x14ac:dyDescent="0.2"/>
    <row r="48" spans="1:9"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64"/>
      <c r="C1" s="246" t="s">
        <v>130</v>
      </c>
      <c r="D1" s="26"/>
      <c r="E1" s="26"/>
      <c r="F1" s="26"/>
      <c r="G1" s="26"/>
      <c r="H1" s="26"/>
      <c r="I1" s="26"/>
      <c r="J1" s="26"/>
      <c r="K1" s="26"/>
      <c r="L1" s="26"/>
      <c r="M1" s="26"/>
    </row>
    <row r="2" spans="1:14" ht="15.75" x14ac:dyDescent="0.25">
      <c r="A2" s="165" t="s">
        <v>28</v>
      </c>
      <c r="B2" s="700"/>
      <c r="C2" s="700"/>
      <c r="D2" s="700"/>
      <c r="E2" s="297"/>
      <c r="F2" s="700"/>
      <c r="G2" s="700"/>
      <c r="H2" s="700"/>
      <c r="I2" s="297"/>
      <c r="J2" s="700"/>
      <c r="K2" s="700"/>
      <c r="L2" s="700"/>
      <c r="M2" s="297"/>
    </row>
    <row r="3" spans="1:14" ht="15.75" x14ac:dyDescent="0.25">
      <c r="A3" s="163"/>
      <c r="B3" s="297"/>
      <c r="C3" s="297"/>
      <c r="D3" s="297"/>
      <c r="E3" s="297"/>
      <c r="F3" s="297"/>
      <c r="G3" s="297"/>
      <c r="H3" s="297"/>
      <c r="I3" s="297"/>
      <c r="J3" s="297"/>
      <c r="K3" s="297"/>
      <c r="L3" s="297"/>
      <c r="M3" s="297"/>
    </row>
    <row r="4" spans="1:14" x14ac:dyDescent="0.2">
      <c r="A4" s="144"/>
      <c r="B4" s="696" t="s">
        <v>0</v>
      </c>
      <c r="C4" s="697"/>
      <c r="D4" s="697"/>
      <c r="E4" s="299"/>
      <c r="F4" s="696" t="s">
        <v>1</v>
      </c>
      <c r="G4" s="697"/>
      <c r="H4" s="697"/>
      <c r="I4" s="302"/>
      <c r="J4" s="696" t="s">
        <v>2</v>
      </c>
      <c r="K4" s="697"/>
      <c r="L4" s="697"/>
      <c r="M4" s="302"/>
    </row>
    <row r="5" spans="1:14" x14ac:dyDescent="0.2">
      <c r="A5" s="158"/>
      <c r="B5" s="152" t="s">
        <v>422</v>
      </c>
      <c r="C5" s="152" t="s">
        <v>423</v>
      </c>
      <c r="D5" s="243" t="s">
        <v>3</v>
      </c>
      <c r="E5" s="303" t="s">
        <v>29</v>
      </c>
      <c r="F5" s="152" t="s">
        <v>422</v>
      </c>
      <c r="G5" s="152" t="s">
        <v>423</v>
      </c>
      <c r="H5" s="243" t="s">
        <v>3</v>
      </c>
      <c r="I5" s="162" t="s">
        <v>29</v>
      </c>
      <c r="J5" s="152" t="s">
        <v>422</v>
      </c>
      <c r="K5" s="152" t="s">
        <v>423</v>
      </c>
      <c r="L5" s="243" t="s">
        <v>3</v>
      </c>
      <c r="M5" s="162" t="s">
        <v>29</v>
      </c>
    </row>
    <row r="6" spans="1:14" x14ac:dyDescent="0.2">
      <c r="A6" s="665"/>
      <c r="B6" s="156"/>
      <c r="C6" s="156"/>
      <c r="D6" s="244" t="s">
        <v>4</v>
      </c>
      <c r="E6" s="156" t="s">
        <v>30</v>
      </c>
      <c r="F6" s="161"/>
      <c r="G6" s="161"/>
      <c r="H6" s="243" t="s">
        <v>4</v>
      </c>
      <c r="I6" s="156" t="s">
        <v>30</v>
      </c>
      <c r="J6" s="161"/>
      <c r="K6" s="161"/>
      <c r="L6" s="243" t="s">
        <v>4</v>
      </c>
      <c r="M6" s="156" t="s">
        <v>30</v>
      </c>
    </row>
    <row r="7" spans="1:14" ht="15.75" x14ac:dyDescent="0.2">
      <c r="A7" s="14" t="s">
        <v>23</v>
      </c>
      <c r="B7" s="304">
        <v>167974</v>
      </c>
      <c r="C7" s="305">
        <v>192435</v>
      </c>
      <c r="D7" s="347">
        <f>IF(B7=0, "    ---- ", IF(ABS(ROUND(100/B7*C7-100,1))&lt;999,ROUND(100/B7*C7-100,1),IF(ROUND(100/B7*C7-100,1)&gt;999,999,-999)))</f>
        <v>14.6</v>
      </c>
      <c r="E7" s="11">
        <f>IFERROR(100/'Skjema total MA'!C7*C7,0)</f>
        <v>7.2463744417290448</v>
      </c>
      <c r="F7" s="304"/>
      <c r="G7" s="305"/>
      <c r="H7" s="347"/>
      <c r="I7" s="160"/>
      <c r="J7" s="306">
        <f t="shared" ref="J7:K9" si="0">SUM(B7,F7)</f>
        <v>167974</v>
      </c>
      <c r="K7" s="307">
        <f t="shared" si="0"/>
        <v>192435</v>
      </c>
      <c r="L7" s="370">
        <f>IF(J7=0, "    ---- ", IF(ABS(ROUND(100/J7*K7-100,1))&lt;999,ROUND(100/J7*K7-100,1),IF(ROUND(100/J7*K7-100,1)&gt;999,999,-999)))</f>
        <v>14.6</v>
      </c>
      <c r="M7" s="11">
        <f>IFERROR(100/'Skjema total MA'!I7*K7,0)</f>
        <v>2.5047201168636994</v>
      </c>
    </row>
    <row r="8" spans="1:14" ht="15.75" x14ac:dyDescent="0.2">
      <c r="A8" s="21" t="s">
        <v>25</v>
      </c>
      <c r="B8" s="279">
        <v>90782</v>
      </c>
      <c r="C8" s="280">
        <v>99795</v>
      </c>
      <c r="D8" s="166">
        <f t="shared" ref="D8:D9" si="1">IF(B8=0, "    ---- ", IF(ABS(ROUND(100/B8*C8-100,1))&lt;999,ROUND(100/B8*C8-100,1),IF(ROUND(100/B8*C8-100,1)&gt;999,999,-999)))</f>
        <v>9.9</v>
      </c>
      <c r="E8" s="27">
        <f>IFERROR(100/'Skjema total MA'!C8*C8,0)</f>
        <v>6.2483535297231683</v>
      </c>
      <c r="F8" s="283"/>
      <c r="G8" s="284"/>
      <c r="H8" s="166"/>
      <c r="I8" s="175"/>
      <c r="J8" s="232">
        <f t="shared" si="0"/>
        <v>90782</v>
      </c>
      <c r="K8" s="285">
        <f t="shared" si="0"/>
        <v>99795</v>
      </c>
      <c r="L8" s="166">
        <f t="shared" ref="L8:L9" si="2">IF(J8=0, "    ---- ", IF(ABS(ROUND(100/J8*K8-100,1))&lt;999,ROUND(100/J8*K8-100,1),IF(ROUND(100/J8*K8-100,1)&gt;999,999,-999)))</f>
        <v>9.9</v>
      </c>
      <c r="M8" s="27">
        <f>IFERROR(100/'Skjema total MA'!I8*K8,0)</f>
        <v>6.2483535297231683</v>
      </c>
    </row>
    <row r="9" spans="1:14" ht="15.75" x14ac:dyDescent="0.2">
      <c r="A9" s="21" t="s">
        <v>24</v>
      </c>
      <c r="B9" s="279">
        <v>77192</v>
      </c>
      <c r="C9" s="280">
        <v>85792</v>
      </c>
      <c r="D9" s="166">
        <f t="shared" si="1"/>
        <v>11.1</v>
      </c>
      <c r="E9" s="27">
        <f>IFERROR(100/'Skjema total MA'!C9*C9,0)</f>
        <v>14.734307719680617</v>
      </c>
      <c r="F9" s="283"/>
      <c r="G9" s="284"/>
      <c r="H9" s="166"/>
      <c r="I9" s="175"/>
      <c r="J9" s="232">
        <f t="shared" si="0"/>
        <v>77192</v>
      </c>
      <c r="K9" s="285">
        <f t="shared" si="0"/>
        <v>85792</v>
      </c>
      <c r="L9" s="166">
        <f t="shared" si="2"/>
        <v>11.1</v>
      </c>
      <c r="M9" s="27">
        <f>IFERROR(100/'Skjema total MA'!I9*K9,0)</f>
        <v>14.734307719680617</v>
      </c>
    </row>
    <row r="10" spans="1:14" ht="15.75" x14ac:dyDescent="0.2">
      <c r="A10" s="13" t="s">
        <v>371</v>
      </c>
      <c r="B10" s="308"/>
      <c r="C10" s="309"/>
      <c r="D10" s="171"/>
      <c r="E10" s="11"/>
      <c r="F10" s="308"/>
      <c r="G10" s="309"/>
      <c r="H10" s="171"/>
      <c r="I10" s="160"/>
      <c r="J10" s="306"/>
      <c r="K10" s="307"/>
      <c r="L10" s="371"/>
      <c r="M10" s="11"/>
    </row>
    <row r="11" spans="1:14" s="43" customFormat="1" ht="15.75" x14ac:dyDescent="0.2">
      <c r="A11" s="13" t="s">
        <v>372</v>
      </c>
      <c r="B11" s="308"/>
      <c r="C11" s="309"/>
      <c r="D11" s="171"/>
      <c r="E11" s="11"/>
      <c r="F11" s="308"/>
      <c r="G11" s="309"/>
      <c r="H11" s="171"/>
      <c r="I11" s="160"/>
      <c r="J11" s="306"/>
      <c r="K11" s="307"/>
      <c r="L11" s="371"/>
      <c r="M11" s="11"/>
      <c r="N11" s="143"/>
    </row>
    <row r="12" spans="1:14" s="43" customFormat="1" ht="15.75" x14ac:dyDescent="0.2">
      <c r="A12" s="41" t="s">
        <v>373</v>
      </c>
      <c r="B12" s="310"/>
      <c r="C12" s="311"/>
      <c r="D12" s="169"/>
      <c r="E12" s="36"/>
      <c r="F12" s="310"/>
      <c r="G12" s="311"/>
      <c r="H12" s="169"/>
      <c r="I12" s="169"/>
      <c r="J12" s="312"/>
      <c r="K12" s="313"/>
      <c r="L12" s="372"/>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95"/>
      <c r="C18" s="695"/>
      <c r="D18" s="695"/>
      <c r="E18" s="297"/>
      <c r="F18" s="695"/>
      <c r="G18" s="695"/>
      <c r="H18" s="695"/>
      <c r="I18" s="297"/>
      <c r="J18" s="695"/>
      <c r="K18" s="695"/>
      <c r="L18" s="695"/>
      <c r="M18" s="297"/>
    </row>
    <row r="19" spans="1:14" x14ac:dyDescent="0.2">
      <c r="A19" s="144"/>
      <c r="B19" s="696" t="s">
        <v>0</v>
      </c>
      <c r="C19" s="697"/>
      <c r="D19" s="697"/>
      <c r="E19" s="299"/>
      <c r="F19" s="696" t="s">
        <v>1</v>
      </c>
      <c r="G19" s="697"/>
      <c r="H19" s="697"/>
      <c r="I19" s="302"/>
      <c r="J19" s="696" t="s">
        <v>2</v>
      </c>
      <c r="K19" s="697"/>
      <c r="L19" s="697"/>
      <c r="M19" s="302"/>
    </row>
    <row r="20" spans="1:14" x14ac:dyDescent="0.2">
      <c r="A20" s="140" t="s">
        <v>5</v>
      </c>
      <c r="B20" s="152" t="s">
        <v>422</v>
      </c>
      <c r="C20" s="152" t="s">
        <v>423</v>
      </c>
      <c r="D20" s="162" t="s">
        <v>3</v>
      </c>
      <c r="E20" s="303" t="s">
        <v>29</v>
      </c>
      <c r="F20" s="152" t="s">
        <v>422</v>
      </c>
      <c r="G20" s="152" t="s">
        <v>423</v>
      </c>
      <c r="H20" s="162" t="s">
        <v>3</v>
      </c>
      <c r="I20" s="162" t="s">
        <v>29</v>
      </c>
      <c r="J20" s="152" t="s">
        <v>422</v>
      </c>
      <c r="K20" s="152" t="s">
        <v>423</v>
      </c>
      <c r="L20" s="162" t="s">
        <v>3</v>
      </c>
      <c r="M20" s="162" t="s">
        <v>29</v>
      </c>
    </row>
    <row r="21" spans="1:14" x14ac:dyDescent="0.2">
      <c r="A21" s="666"/>
      <c r="B21" s="156"/>
      <c r="C21" s="156"/>
      <c r="D21" s="244" t="s">
        <v>4</v>
      </c>
      <c r="E21" s="156" t="s">
        <v>30</v>
      </c>
      <c r="F21" s="161"/>
      <c r="G21" s="161"/>
      <c r="H21" s="243" t="s">
        <v>4</v>
      </c>
      <c r="I21" s="156" t="s">
        <v>30</v>
      </c>
      <c r="J21" s="161"/>
      <c r="K21" s="161"/>
      <c r="L21" s="156" t="s">
        <v>4</v>
      </c>
      <c r="M21" s="156" t="s">
        <v>30</v>
      </c>
    </row>
    <row r="22" spans="1:14" ht="15.75" x14ac:dyDescent="0.2">
      <c r="A22" s="14" t="s">
        <v>23</v>
      </c>
      <c r="B22" s="308"/>
      <c r="C22" s="308"/>
      <c r="D22" s="347"/>
      <c r="E22" s="11"/>
      <c r="F22" s="316"/>
      <c r="G22" s="316"/>
      <c r="H22" s="347"/>
      <c r="I22" s="11"/>
      <c r="J22" s="314"/>
      <c r="K22" s="314"/>
      <c r="L22" s="370"/>
      <c r="M22" s="24"/>
    </row>
    <row r="23" spans="1:14" ht="15.75" x14ac:dyDescent="0.2">
      <c r="A23" s="551" t="s">
        <v>374</v>
      </c>
      <c r="B23" s="279"/>
      <c r="C23" s="279"/>
      <c r="D23" s="166"/>
      <c r="E23" s="11"/>
      <c r="F23" s="288"/>
      <c r="G23" s="288"/>
      <c r="H23" s="166"/>
      <c r="I23" s="363"/>
      <c r="J23" s="288"/>
      <c r="K23" s="288"/>
      <c r="L23" s="166"/>
      <c r="M23" s="23"/>
    </row>
    <row r="24" spans="1:14" ht="15.75" x14ac:dyDescent="0.2">
      <c r="A24" s="551" t="s">
        <v>375</v>
      </c>
      <c r="B24" s="279"/>
      <c r="C24" s="279"/>
      <c r="D24" s="166"/>
      <c r="E24" s="11"/>
      <c r="F24" s="288"/>
      <c r="G24" s="288"/>
      <c r="H24" s="166"/>
      <c r="I24" s="363"/>
      <c r="J24" s="288"/>
      <c r="K24" s="288"/>
      <c r="L24" s="166"/>
      <c r="M24" s="23"/>
    </row>
    <row r="25" spans="1:14" ht="15.75" x14ac:dyDescent="0.2">
      <c r="A25" s="551" t="s">
        <v>376</v>
      </c>
      <c r="B25" s="279"/>
      <c r="C25" s="279"/>
      <c r="D25" s="166"/>
      <c r="E25" s="11"/>
      <c r="F25" s="288"/>
      <c r="G25" s="288"/>
      <c r="H25" s="166"/>
      <c r="I25" s="363"/>
      <c r="J25" s="288"/>
      <c r="K25" s="288"/>
      <c r="L25" s="166"/>
      <c r="M25" s="23"/>
    </row>
    <row r="26" spans="1:14" ht="15.75" x14ac:dyDescent="0.2">
      <c r="A26" s="551" t="s">
        <v>377</v>
      </c>
      <c r="B26" s="279"/>
      <c r="C26" s="279"/>
      <c r="D26" s="166"/>
      <c r="E26" s="11"/>
      <c r="F26" s="288"/>
      <c r="G26" s="288"/>
      <c r="H26" s="166"/>
      <c r="I26" s="363"/>
      <c r="J26" s="288"/>
      <c r="K26" s="288"/>
      <c r="L26" s="166"/>
      <c r="M26" s="23"/>
    </row>
    <row r="27" spans="1:14" x14ac:dyDescent="0.2">
      <c r="A27" s="551" t="s">
        <v>11</v>
      </c>
      <c r="B27" s="279"/>
      <c r="C27" s="279"/>
      <c r="D27" s="166"/>
      <c r="E27" s="11"/>
      <c r="F27" s="288"/>
      <c r="G27" s="288"/>
      <c r="H27" s="166"/>
      <c r="I27" s="363"/>
      <c r="J27" s="288"/>
      <c r="K27" s="288"/>
      <c r="L27" s="166"/>
      <c r="M27" s="23"/>
    </row>
    <row r="28" spans="1:14" ht="15.75" x14ac:dyDescent="0.2">
      <c r="A28" s="49" t="s">
        <v>282</v>
      </c>
      <c r="B28" s="44"/>
      <c r="C28" s="285"/>
      <c r="D28" s="166"/>
      <c r="E28" s="11"/>
      <c r="F28" s="232"/>
      <c r="G28" s="285"/>
      <c r="H28" s="166"/>
      <c r="I28" s="27"/>
      <c r="J28" s="44"/>
      <c r="K28" s="44"/>
      <c r="L28" s="252"/>
      <c r="M28" s="23"/>
    </row>
    <row r="29" spans="1:14" s="3" customFormat="1" ht="15.75" x14ac:dyDescent="0.2">
      <c r="A29" s="13" t="s">
        <v>371</v>
      </c>
      <c r="B29" s="234"/>
      <c r="C29" s="234"/>
      <c r="D29" s="171"/>
      <c r="E29" s="11"/>
      <c r="F29" s="306"/>
      <c r="G29" s="306"/>
      <c r="H29" s="171"/>
      <c r="I29" s="11"/>
      <c r="J29" s="234"/>
      <c r="K29" s="234"/>
      <c r="L29" s="371"/>
      <c r="M29" s="24"/>
      <c r="N29" s="148"/>
    </row>
    <row r="30" spans="1:14" s="3" customFormat="1" ht="15.75" x14ac:dyDescent="0.2">
      <c r="A30" s="551" t="s">
        <v>374</v>
      </c>
      <c r="B30" s="279"/>
      <c r="C30" s="279"/>
      <c r="D30" s="166"/>
      <c r="E30" s="11"/>
      <c r="F30" s="288"/>
      <c r="G30" s="288"/>
      <c r="H30" s="166"/>
      <c r="I30" s="363"/>
      <c r="J30" s="288"/>
      <c r="K30" s="288"/>
      <c r="L30" s="166"/>
      <c r="M30" s="23"/>
      <c r="N30" s="148"/>
    </row>
    <row r="31" spans="1:14" s="3" customFormat="1" ht="15.75" x14ac:dyDescent="0.2">
      <c r="A31" s="551" t="s">
        <v>375</v>
      </c>
      <c r="B31" s="279"/>
      <c r="C31" s="279"/>
      <c r="D31" s="166"/>
      <c r="E31" s="11"/>
      <c r="F31" s="288"/>
      <c r="G31" s="288"/>
      <c r="H31" s="166"/>
      <c r="I31" s="363"/>
      <c r="J31" s="288"/>
      <c r="K31" s="288"/>
      <c r="L31" s="166"/>
      <c r="M31" s="23"/>
      <c r="N31" s="148"/>
    </row>
    <row r="32" spans="1:14" ht="15.75" x14ac:dyDescent="0.2">
      <c r="A32" s="551" t="s">
        <v>376</v>
      </c>
      <c r="B32" s="279"/>
      <c r="C32" s="279"/>
      <c r="D32" s="166"/>
      <c r="E32" s="11"/>
      <c r="F32" s="288"/>
      <c r="G32" s="288"/>
      <c r="H32" s="166"/>
      <c r="I32" s="363"/>
      <c r="J32" s="288"/>
      <c r="K32" s="288"/>
      <c r="L32" s="166"/>
      <c r="M32" s="23"/>
    </row>
    <row r="33" spans="1:14" ht="15.75" x14ac:dyDescent="0.2">
      <c r="A33" s="551" t="s">
        <v>377</v>
      </c>
      <c r="B33" s="279"/>
      <c r="C33" s="279"/>
      <c r="D33" s="166"/>
      <c r="E33" s="11"/>
      <c r="F33" s="288"/>
      <c r="G33" s="288"/>
      <c r="H33" s="166"/>
      <c r="I33" s="363"/>
      <c r="J33" s="288"/>
      <c r="K33" s="288"/>
      <c r="L33" s="166"/>
      <c r="M33" s="23"/>
    </row>
    <row r="34" spans="1:14" ht="15.75" x14ac:dyDescent="0.2">
      <c r="A34" s="13" t="s">
        <v>372</v>
      </c>
      <c r="B34" s="234"/>
      <c r="C34" s="307"/>
      <c r="D34" s="171"/>
      <c r="E34" s="11"/>
      <c r="F34" s="306"/>
      <c r="G34" s="307"/>
      <c r="H34" s="171"/>
      <c r="I34" s="11"/>
      <c r="J34" s="234"/>
      <c r="K34" s="234"/>
      <c r="L34" s="371"/>
      <c r="M34" s="24"/>
    </row>
    <row r="35" spans="1:14" ht="15.75" x14ac:dyDescent="0.2">
      <c r="A35" s="13" t="s">
        <v>373</v>
      </c>
      <c r="B35" s="234"/>
      <c r="C35" s="307"/>
      <c r="D35" s="171"/>
      <c r="E35" s="11"/>
      <c r="F35" s="306"/>
      <c r="G35" s="307"/>
      <c r="H35" s="171"/>
      <c r="I35" s="11"/>
      <c r="J35" s="234"/>
      <c r="K35" s="234"/>
      <c r="L35" s="371"/>
      <c r="M35" s="24"/>
    </row>
    <row r="36" spans="1:14" ht="15.75" x14ac:dyDescent="0.2">
      <c r="A36" s="12" t="s">
        <v>290</v>
      </c>
      <c r="B36" s="234"/>
      <c r="C36" s="307"/>
      <c r="D36" s="171"/>
      <c r="E36" s="11"/>
      <c r="F36" s="317"/>
      <c r="G36" s="318"/>
      <c r="H36" s="171"/>
      <c r="I36" s="377"/>
      <c r="J36" s="234"/>
      <c r="K36" s="234"/>
      <c r="L36" s="371"/>
      <c r="M36" s="24"/>
    </row>
    <row r="37" spans="1:14" ht="15.75" x14ac:dyDescent="0.2">
      <c r="A37" s="12" t="s">
        <v>379</v>
      </c>
      <c r="B37" s="234"/>
      <c r="C37" s="307"/>
      <c r="D37" s="171"/>
      <c r="E37" s="11"/>
      <c r="F37" s="317"/>
      <c r="G37" s="319"/>
      <c r="H37" s="171"/>
      <c r="I37" s="377"/>
      <c r="J37" s="234"/>
      <c r="K37" s="234"/>
      <c r="L37" s="371"/>
      <c r="M37" s="24"/>
    </row>
    <row r="38" spans="1:14" ht="15.75" x14ac:dyDescent="0.2">
      <c r="A38" s="12" t="s">
        <v>380</v>
      </c>
      <c r="B38" s="234"/>
      <c r="C38" s="307"/>
      <c r="D38" s="171"/>
      <c r="E38" s="24"/>
      <c r="F38" s="317"/>
      <c r="G38" s="318"/>
      <c r="H38" s="171"/>
      <c r="I38" s="377"/>
      <c r="J38" s="234"/>
      <c r="K38" s="234"/>
      <c r="L38" s="371"/>
      <c r="M38" s="24"/>
    </row>
    <row r="39" spans="1:14" ht="15.75" x14ac:dyDescent="0.2">
      <c r="A39" s="18" t="s">
        <v>381</v>
      </c>
      <c r="B39" s="274"/>
      <c r="C39" s="313"/>
      <c r="D39" s="169"/>
      <c r="E39" s="36"/>
      <c r="F39" s="320"/>
      <c r="G39" s="321"/>
      <c r="H39" s="169"/>
      <c r="I39" s="36"/>
      <c r="J39" s="234"/>
      <c r="K39" s="234"/>
      <c r="L39" s="372"/>
      <c r="M39" s="36"/>
    </row>
    <row r="40" spans="1:14" ht="15.75" x14ac:dyDescent="0.25">
      <c r="A40" s="47"/>
      <c r="B40" s="251"/>
      <c r="C40" s="251"/>
      <c r="D40" s="699"/>
      <c r="E40" s="699"/>
      <c r="F40" s="699"/>
      <c r="G40" s="699"/>
      <c r="H40" s="699"/>
      <c r="I40" s="699"/>
      <c r="J40" s="699"/>
      <c r="K40" s="699"/>
      <c r="L40" s="699"/>
      <c r="M40" s="300"/>
    </row>
    <row r="41" spans="1:14" x14ac:dyDescent="0.2">
      <c r="A41" s="155"/>
    </row>
    <row r="42" spans="1:14" ht="15.75" x14ac:dyDescent="0.25">
      <c r="A42" s="147" t="s">
        <v>279</v>
      </c>
      <c r="B42" s="700"/>
      <c r="C42" s="700"/>
      <c r="D42" s="700"/>
      <c r="E42" s="297"/>
      <c r="F42" s="701"/>
      <c r="G42" s="701"/>
      <c r="H42" s="701"/>
      <c r="I42" s="300"/>
      <c r="J42" s="701"/>
      <c r="K42" s="701"/>
      <c r="L42" s="701"/>
      <c r="M42" s="300"/>
    </row>
    <row r="43" spans="1:14" ht="15.75" x14ac:dyDescent="0.25">
      <c r="A43" s="163"/>
      <c r="B43" s="301"/>
      <c r="C43" s="301"/>
      <c r="D43" s="301"/>
      <c r="E43" s="301"/>
      <c r="F43" s="300"/>
      <c r="G43" s="300"/>
      <c r="H43" s="300"/>
      <c r="I43" s="300"/>
      <c r="J43" s="300"/>
      <c r="K43" s="300"/>
      <c r="L43" s="300"/>
      <c r="M43" s="300"/>
    </row>
    <row r="44" spans="1:14" ht="15.75" x14ac:dyDescent="0.25">
      <c r="A44" s="245"/>
      <c r="B44" s="696" t="s">
        <v>0</v>
      </c>
      <c r="C44" s="697"/>
      <c r="D44" s="697"/>
      <c r="E44" s="241"/>
      <c r="F44" s="300"/>
      <c r="G44" s="300"/>
      <c r="H44" s="300"/>
      <c r="I44" s="300"/>
      <c r="J44" s="300"/>
      <c r="K44" s="300"/>
      <c r="L44" s="300"/>
      <c r="M44" s="300"/>
    </row>
    <row r="45" spans="1:14" s="3" customFormat="1" x14ac:dyDescent="0.2">
      <c r="A45" s="140"/>
      <c r="B45" s="152" t="s">
        <v>422</v>
      </c>
      <c r="C45" s="152" t="s">
        <v>423</v>
      </c>
      <c r="D45" s="162" t="s">
        <v>3</v>
      </c>
      <c r="E45" s="162" t="s">
        <v>29</v>
      </c>
      <c r="F45" s="174"/>
      <c r="G45" s="174"/>
      <c r="H45" s="173"/>
      <c r="I45" s="173"/>
      <c r="J45" s="174"/>
      <c r="K45" s="174"/>
      <c r="L45" s="173"/>
      <c r="M45" s="173"/>
      <c r="N45" s="148"/>
    </row>
    <row r="46" spans="1:14" s="3" customFormat="1" x14ac:dyDescent="0.2">
      <c r="A46" s="666"/>
      <c r="B46" s="242"/>
      <c r="C46" s="242"/>
      <c r="D46" s="243" t="s">
        <v>4</v>
      </c>
      <c r="E46" s="156" t="s">
        <v>30</v>
      </c>
      <c r="F46" s="173"/>
      <c r="G46" s="173"/>
      <c r="H46" s="173"/>
      <c r="I46" s="173"/>
      <c r="J46" s="173"/>
      <c r="K46" s="173"/>
      <c r="L46" s="173"/>
      <c r="M46" s="173"/>
      <c r="N46" s="148"/>
    </row>
    <row r="47" spans="1:14" s="3" customFormat="1" ht="15.75" x14ac:dyDescent="0.2">
      <c r="A47" s="14" t="s">
        <v>23</v>
      </c>
      <c r="B47" s="308"/>
      <c r="C47" s="309"/>
      <c r="D47" s="370"/>
      <c r="E47" s="11"/>
      <c r="F47" s="145"/>
      <c r="G47" s="33"/>
      <c r="H47" s="159"/>
      <c r="I47" s="159"/>
      <c r="J47" s="37"/>
      <c r="K47" s="37"/>
      <c r="L47" s="159"/>
      <c r="M47" s="159"/>
      <c r="N47" s="148"/>
    </row>
    <row r="48" spans="1:14" s="3" customFormat="1" ht="15.75" x14ac:dyDescent="0.2">
      <c r="A48" s="38" t="s">
        <v>382</v>
      </c>
      <c r="B48" s="279"/>
      <c r="C48" s="280"/>
      <c r="D48" s="252"/>
      <c r="E48" s="27"/>
      <c r="F48" s="145"/>
      <c r="G48" s="33"/>
      <c r="H48" s="145"/>
      <c r="I48" s="145"/>
      <c r="J48" s="33"/>
      <c r="K48" s="33"/>
      <c r="L48" s="159"/>
      <c r="M48" s="159"/>
      <c r="N48" s="148"/>
    </row>
    <row r="49" spans="1:14" s="3" customFormat="1" ht="15.75" x14ac:dyDescent="0.2">
      <c r="A49" s="38" t="s">
        <v>383</v>
      </c>
      <c r="B49" s="44"/>
      <c r="C49" s="285"/>
      <c r="D49" s="252"/>
      <c r="E49" s="27"/>
      <c r="F49" s="145"/>
      <c r="G49" s="33"/>
      <c r="H49" s="145"/>
      <c r="I49" s="145"/>
      <c r="J49" s="37"/>
      <c r="K49" s="37"/>
      <c r="L49" s="159"/>
      <c r="M49" s="159"/>
      <c r="N49" s="148"/>
    </row>
    <row r="50" spans="1:14" s="3" customFormat="1" x14ac:dyDescent="0.2">
      <c r="A50" s="294" t="s">
        <v>6</v>
      </c>
      <c r="B50" s="288"/>
      <c r="C50" s="289"/>
      <c r="D50" s="252"/>
      <c r="E50" s="23"/>
      <c r="F50" s="145"/>
      <c r="G50" s="33"/>
      <c r="H50" s="145"/>
      <c r="I50" s="145"/>
      <c r="J50" s="33"/>
      <c r="K50" s="33"/>
      <c r="L50" s="159"/>
      <c r="M50" s="159"/>
      <c r="N50" s="148"/>
    </row>
    <row r="51" spans="1:14" s="3" customFormat="1" x14ac:dyDescent="0.2">
      <c r="A51" s="294" t="s">
        <v>7</v>
      </c>
      <c r="B51" s="288"/>
      <c r="C51" s="289"/>
      <c r="D51" s="252"/>
      <c r="E51" s="23"/>
      <c r="F51" s="145"/>
      <c r="G51" s="33"/>
      <c r="H51" s="145"/>
      <c r="I51" s="145"/>
      <c r="J51" s="33"/>
      <c r="K51" s="33"/>
      <c r="L51" s="159"/>
      <c r="M51" s="159"/>
      <c r="N51" s="148"/>
    </row>
    <row r="52" spans="1:14" s="3" customFormat="1" x14ac:dyDescent="0.2">
      <c r="A52" s="294" t="s">
        <v>8</v>
      </c>
      <c r="B52" s="288"/>
      <c r="C52" s="289"/>
      <c r="D52" s="252"/>
      <c r="E52" s="23"/>
      <c r="F52" s="145"/>
      <c r="G52" s="33"/>
      <c r="H52" s="145"/>
      <c r="I52" s="145"/>
      <c r="J52" s="33"/>
      <c r="K52" s="33"/>
      <c r="L52" s="159"/>
      <c r="M52" s="159"/>
      <c r="N52" s="148"/>
    </row>
    <row r="53" spans="1:14" s="3" customFormat="1" ht="15.75" x14ac:dyDescent="0.2">
      <c r="A53" s="39" t="s">
        <v>384</v>
      </c>
      <c r="B53" s="308"/>
      <c r="C53" s="309"/>
      <c r="D53" s="371"/>
      <c r="E53" s="11"/>
      <c r="F53" s="145"/>
      <c r="G53" s="33"/>
      <c r="H53" s="145"/>
      <c r="I53" s="145"/>
      <c r="J53" s="33"/>
      <c r="K53" s="33"/>
      <c r="L53" s="159"/>
      <c r="M53" s="159"/>
      <c r="N53" s="148"/>
    </row>
    <row r="54" spans="1:14" s="3" customFormat="1" ht="15.75" x14ac:dyDescent="0.2">
      <c r="A54" s="38" t="s">
        <v>382</v>
      </c>
      <c r="B54" s="279"/>
      <c r="C54" s="280"/>
      <c r="D54" s="252"/>
      <c r="E54" s="27"/>
      <c r="F54" s="145"/>
      <c r="G54" s="33"/>
      <c r="H54" s="145"/>
      <c r="I54" s="145"/>
      <c r="J54" s="33"/>
      <c r="K54" s="33"/>
      <c r="L54" s="159"/>
      <c r="M54" s="159"/>
      <c r="N54" s="148"/>
    </row>
    <row r="55" spans="1:14" s="3" customFormat="1" ht="15.75" x14ac:dyDescent="0.2">
      <c r="A55" s="38" t="s">
        <v>383</v>
      </c>
      <c r="B55" s="279"/>
      <c r="C55" s="280"/>
      <c r="D55" s="252"/>
      <c r="E55" s="27"/>
      <c r="F55" s="145"/>
      <c r="G55" s="33"/>
      <c r="H55" s="145"/>
      <c r="I55" s="145"/>
      <c r="J55" s="33"/>
      <c r="K55" s="33"/>
      <c r="L55" s="159"/>
      <c r="M55" s="159"/>
      <c r="N55" s="148"/>
    </row>
    <row r="56" spans="1:14" s="3" customFormat="1" ht="15.75" x14ac:dyDescent="0.2">
      <c r="A56" s="39" t="s">
        <v>385</v>
      </c>
      <c r="B56" s="308"/>
      <c r="C56" s="309"/>
      <c r="D56" s="371"/>
      <c r="E56" s="11"/>
      <c r="F56" s="145"/>
      <c r="G56" s="33"/>
      <c r="H56" s="145"/>
      <c r="I56" s="145"/>
      <c r="J56" s="33"/>
      <c r="K56" s="33"/>
      <c r="L56" s="159"/>
      <c r="M56" s="159"/>
      <c r="N56" s="148"/>
    </row>
    <row r="57" spans="1:14" s="3" customFormat="1" ht="15.75" x14ac:dyDescent="0.2">
      <c r="A57" s="38" t="s">
        <v>382</v>
      </c>
      <c r="B57" s="279"/>
      <c r="C57" s="280"/>
      <c r="D57" s="252"/>
      <c r="E57" s="27"/>
      <c r="F57" s="145"/>
      <c r="G57" s="33"/>
      <c r="H57" s="145"/>
      <c r="I57" s="145"/>
      <c r="J57" s="33"/>
      <c r="K57" s="33"/>
      <c r="L57" s="159"/>
      <c r="M57" s="159"/>
      <c r="N57" s="148"/>
    </row>
    <row r="58" spans="1:14" s="3" customFormat="1" ht="15.75" x14ac:dyDescent="0.2">
      <c r="A58" s="46" t="s">
        <v>383</v>
      </c>
      <c r="B58" s="281"/>
      <c r="C58" s="282"/>
      <c r="D58" s="253"/>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95"/>
      <c r="C62" s="695"/>
      <c r="D62" s="695"/>
      <c r="E62" s="297"/>
      <c r="F62" s="695"/>
      <c r="G62" s="695"/>
      <c r="H62" s="695"/>
      <c r="I62" s="297"/>
      <c r="J62" s="695"/>
      <c r="K62" s="695"/>
      <c r="L62" s="695"/>
      <c r="M62" s="297"/>
    </row>
    <row r="63" spans="1:14" x14ac:dyDescent="0.2">
      <c r="A63" s="144"/>
      <c r="B63" s="696" t="s">
        <v>0</v>
      </c>
      <c r="C63" s="697"/>
      <c r="D63" s="698"/>
      <c r="E63" s="298"/>
      <c r="F63" s="697" t="s">
        <v>1</v>
      </c>
      <c r="G63" s="697"/>
      <c r="H63" s="697"/>
      <c r="I63" s="302"/>
      <c r="J63" s="696" t="s">
        <v>2</v>
      </c>
      <c r="K63" s="697"/>
      <c r="L63" s="697"/>
      <c r="M63" s="302"/>
    </row>
    <row r="64" spans="1:14" x14ac:dyDescent="0.2">
      <c r="A64" s="140"/>
      <c r="B64" s="152" t="s">
        <v>422</v>
      </c>
      <c r="C64" s="152" t="s">
        <v>423</v>
      </c>
      <c r="D64" s="243" t="s">
        <v>3</v>
      </c>
      <c r="E64" s="303" t="s">
        <v>29</v>
      </c>
      <c r="F64" s="152" t="s">
        <v>422</v>
      </c>
      <c r="G64" s="152" t="s">
        <v>423</v>
      </c>
      <c r="H64" s="243" t="s">
        <v>3</v>
      </c>
      <c r="I64" s="303" t="s">
        <v>29</v>
      </c>
      <c r="J64" s="152" t="s">
        <v>422</v>
      </c>
      <c r="K64" s="152" t="s">
        <v>423</v>
      </c>
      <c r="L64" s="243" t="s">
        <v>3</v>
      </c>
      <c r="M64" s="162" t="s">
        <v>29</v>
      </c>
    </row>
    <row r="65" spans="1:14" x14ac:dyDescent="0.2">
      <c r="A65" s="666"/>
      <c r="B65" s="156"/>
      <c r="C65" s="156"/>
      <c r="D65" s="244" t="s">
        <v>4</v>
      </c>
      <c r="E65" s="156" t="s">
        <v>30</v>
      </c>
      <c r="F65" s="161"/>
      <c r="G65" s="161"/>
      <c r="H65" s="243" t="s">
        <v>4</v>
      </c>
      <c r="I65" s="156" t="s">
        <v>30</v>
      </c>
      <c r="J65" s="161"/>
      <c r="K65" s="205"/>
      <c r="L65" s="156" t="s">
        <v>4</v>
      </c>
      <c r="M65" s="156" t="s">
        <v>30</v>
      </c>
    </row>
    <row r="66" spans="1:14" ht="15.75" x14ac:dyDescent="0.2">
      <c r="A66" s="14" t="s">
        <v>23</v>
      </c>
      <c r="B66" s="350"/>
      <c r="C66" s="350"/>
      <c r="D66" s="347"/>
      <c r="E66" s="11"/>
      <c r="F66" s="349"/>
      <c r="G66" s="349"/>
      <c r="H66" s="347"/>
      <c r="I66" s="11"/>
      <c r="J66" s="307"/>
      <c r="K66" s="314"/>
      <c r="L66" s="371"/>
      <c r="M66" s="11"/>
    </row>
    <row r="67" spans="1:14" x14ac:dyDescent="0.2">
      <c r="A67" s="365" t="s">
        <v>9</v>
      </c>
      <c r="B67" s="44"/>
      <c r="C67" s="145"/>
      <c r="D67" s="166"/>
      <c r="E67" s="27"/>
      <c r="F67" s="232"/>
      <c r="G67" s="145"/>
      <c r="H67" s="166"/>
      <c r="I67" s="27"/>
      <c r="J67" s="285"/>
      <c r="K67" s="44"/>
      <c r="L67" s="252"/>
      <c r="M67" s="27"/>
    </row>
    <row r="68" spans="1:14" x14ac:dyDescent="0.2">
      <c r="A68" s="21" t="s">
        <v>10</v>
      </c>
      <c r="B68" s="290"/>
      <c r="C68" s="291"/>
      <c r="D68" s="166"/>
      <c r="E68" s="27"/>
      <c r="F68" s="290"/>
      <c r="G68" s="291"/>
      <c r="H68" s="166"/>
      <c r="I68" s="27"/>
      <c r="J68" s="285"/>
      <c r="K68" s="44"/>
      <c r="L68" s="252"/>
      <c r="M68" s="27"/>
    </row>
    <row r="69" spans="1:14" ht="15.75" x14ac:dyDescent="0.2">
      <c r="A69" s="294" t="s">
        <v>386</v>
      </c>
      <c r="B69" s="279"/>
      <c r="C69" s="279"/>
      <c r="D69" s="166"/>
      <c r="E69" s="363"/>
      <c r="F69" s="279"/>
      <c r="G69" s="279"/>
      <c r="H69" s="166"/>
      <c r="I69" s="363"/>
      <c r="J69" s="288"/>
      <c r="K69" s="288"/>
      <c r="L69" s="166"/>
      <c r="M69" s="23"/>
    </row>
    <row r="70" spans="1:14" x14ac:dyDescent="0.2">
      <c r="A70" s="294" t="s">
        <v>12</v>
      </c>
      <c r="B70" s="292"/>
      <c r="C70" s="293"/>
      <c r="D70" s="166"/>
      <c r="E70" s="363"/>
      <c r="F70" s="279"/>
      <c r="G70" s="279"/>
      <c r="H70" s="166"/>
      <c r="I70" s="363"/>
      <c r="J70" s="288"/>
      <c r="K70" s="288"/>
      <c r="L70" s="166"/>
      <c r="M70" s="23"/>
    </row>
    <row r="71" spans="1:14" x14ac:dyDescent="0.2">
      <c r="A71" s="294" t="s">
        <v>13</v>
      </c>
      <c r="B71" s="233"/>
      <c r="C71" s="287"/>
      <c r="D71" s="166"/>
      <c r="E71" s="363"/>
      <c r="F71" s="279"/>
      <c r="G71" s="279"/>
      <c r="H71" s="166"/>
      <c r="I71" s="363"/>
      <c r="J71" s="288"/>
      <c r="K71" s="288"/>
      <c r="L71" s="166"/>
      <c r="M71" s="23"/>
    </row>
    <row r="72" spans="1:14" ht="15.75" x14ac:dyDescent="0.2">
      <c r="A72" s="294" t="s">
        <v>387</v>
      </c>
      <c r="B72" s="279"/>
      <c r="C72" s="279"/>
      <c r="D72" s="166"/>
      <c r="E72" s="363"/>
      <c r="F72" s="279"/>
      <c r="G72" s="279"/>
      <c r="H72" s="166"/>
      <c r="I72" s="363"/>
      <c r="J72" s="288"/>
      <c r="K72" s="288"/>
      <c r="L72" s="166"/>
      <c r="M72" s="23"/>
    </row>
    <row r="73" spans="1:14" x14ac:dyDescent="0.2">
      <c r="A73" s="294" t="s">
        <v>12</v>
      </c>
      <c r="B73" s="233"/>
      <c r="C73" s="287"/>
      <c r="D73" s="166"/>
      <c r="E73" s="363"/>
      <c r="F73" s="279"/>
      <c r="G73" s="279"/>
      <c r="H73" s="166"/>
      <c r="I73" s="363"/>
      <c r="J73" s="288"/>
      <c r="K73" s="288"/>
      <c r="L73" s="166"/>
      <c r="M73" s="23"/>
    </row>
    <row r="74" spans="1:14" s="3" customFormat="1" x14ac:dyDescent="0.2">
      <c r="A74" s="294" t="s">
        <v>13</v>
      </c>
      <c r="B74" s="233"/>
      <c r="C74" s="287"/>
      <c r="D74" s="166"/>
      <c r="E74" s="363"/>
      <c r="F74" s="279"/>
      <c r="G74" s="279"/>
      <c r="H74" s="166"/>
      <c r="I74" s="363"/>
      <c r="J74" s="288"/>
      <c r="K74" s="288"/>
      <c r="L74" s="166"/>
      <c r="M74" s="23"/>
      <c r="N74" s="148"/>
    </row>
    <row r="75" spans="1:14" s="3" customFormat="1" x14ac:dyDescent="0.2">
      <c r="A75" s="21" t="s">
        <v>356</v>
      </c>
      <c r="B75" s="232"/>
      <c r="C75" s="145"/>
      <c r="D75" s="166"/>
      <c r="E75" s="27"/>
      <c r="F75" s="232"/>
      <c r="G75" s="145"/>
      <c r="H75" s="166"/>
      <c r="I75" s="27"/>
      <c r="J75" s="285"/>
      <c r="K75" s="44"/>
      <c r="L75" s="252"/>
      <c r="M75" s="27"/>
      <c r="N75" s="148"/>
    </row>
    <row r="76" spans="1:14" s="3" customFormat="1" x14ac:dyDescent="0.2">
      <c r="A76" s="21" t="s">
        <v>355</v>
      </c>
      <c r="B76" s="232"/>
      <c r="C76" s="145"/>
      <c r="D76" s="166"/>
      <c r="E76" s="27"/>
      <c r="F76" s="232"/>
      <c r="G76" s="145"/>
      <c r="H76" s="166"/>
      <c r="I76" s="27"/>
      <c r="J76" s="285"/>
      <c r="K76" s="44"/>
      <c r="L76" s="252"/>
      <c r="M76" s="27"/>
      <c r="N76" s="148"/>
    </row>
    <row r="77" spans="1:14" ht="15.75" x14ac:dyDescent="0.2">
      <c r="A77" s="21" t="s">
        <v>388</v>
      </c>
      <c r="B77" s="232"/>
      <c r="C77" s="232"/>
      <c r="D77" s="166"/>
      <c r="E77" s="27"/>
      <c r="F77" s="232"/>
      <c r="G77" s="145"/>
      <c r="H77" s="166"/>
      <c r="I77" s="27"/>
      <c r="J77" s="285"/>
      <c r="K77" s="44"/>
      <c r="L77" s="252"/>
      <c r="M77" s="27"/>
    </row>
    <row r="78" spans="1:14" x14ac:dyDescent="0.2">
      <c r="A78" s="21" t="s">
        <v>9</v>
      </c>
      <c r="B78" s="232"/>
      <c r="C78" s="145"/>
      <c r="D78" s="166"/>
      <c r="E78" s="27"/>
      <c r="F78" s="232"/>
      <c r="G78" s="145"/>
      <c r="H78" s="166"/>
      <c r="I78" s="27"/>
      <c r="J78" s="285"/>
      <c r="K78" s="44"/>
      <c r="L78" s="252"/>
      <c r="M78" s="27"/>
    </row>
    <row r="79" spans="1:14" x14ac:dyDescent="0.2">
      <c r="A79" s="21" t="s">
        <v>10</v>
      </c>
      <c r="B79" s="290"/>
      <c r="C79" s="291"/>
      <c r="D79" s="166"/>
      <c r="E79" s="27"/>
      <c r="F79" s="290"/>
      <c r="G79" s="291"/>
      <c r="H79" s="166"/>
      <c r="I79" s="27"/>
      <c r="J79" s="285"/>
      <c r="K79" s="44"/>
      <c r="L79" s="252"/>
      <c r="M79" s="27"/>
    </row>
    <row r="80" spans="1:14" ht="15.75" x14ac:dyDescent="0.2">
      <c r="A80" s="294" t="s">
        <v>386</v>
      </c>
      <c r="B80" s="279"/>
      <c r="C80" s="279"/>
      <c r="D80" s="166"/>
      <c r="E80" s="363"/>
      <c r="F80" s="279"/>
      <c r="G80" s="279"/>
      <c r="H80" s="166"/>
      <c r="I80" s="363"/>
      <c r="J80" s="288"/>
      <c r="K80" s="288"/>
      <c r="L80" s="166"/>
      <c r="M80" s="23"/>
    </row>
    <row r="81" spans="1:13" x14ac:dyDescent="0.2">
      <c r="A81" s="294" t="s">
        <v>12</v>
      </c>
      <c r="B81" s="233"/>
      <c r="C81" s="287"/>
      <c r="D81" s="166"/>
      <c r="E81" s="363"/>
      <c r="F81" s="279"/>
      <c r="G81" s="279"/>
      <c r="H81" s="166"/>
      <c r="I81" s="363"/>
      <c r="J81" s="288"/>
      <c r="K81" s="288"/>
      <c r="L81" s="166"/>
      <c r="M81" s="23"/>
    </row>
    <row r="82" spans="1:13" x14ac:dyDescent="0.2">
      <c r="A82" s="294" t="s">
        <v>13</v>
      </c>
      <c r="B82" s="233"/>
      <c r="C82" s="287"/>
      <c r="D82" s="166"/>
      <c r="E82" s="363"/>
      <c r="F82" s="279"/>
      <c r="G82" s="279"/>
      <c r="H82" s="166"/>
      <c r="I82" s="363"/>
      <c r="J82" s="288"/>
      <c r="K82" s="288"/>
      <c r="L82" s="166"/>
      <c r="M82" s="23"/>
    </row>
    <row r="83" spans="1:13" ht="15.75" x14ac:dyDescent="0.2">
      <c r="A83" s="294" t="s">
        <v>387</v>
      </c>
      <c r="B83" s="279"/>
      <c r="C83" s="279"/>
      <c r="D83" s="166"/>
      <c r="E83" s="363"/>
      <c r="F83" s="279"/>
      <c r="G83" s="279"/>
      <c r="H83" s="166"/>
      <c r="I83" s="363"/>
      <c r="J83" s="288"/>
      <c r="K83" s="288"/>
      <c r="L83" s="166"/>
      <c r="M83" s="23"/>
    </row>
    <row r="84" spans="1:13" x14ac:dyDescent="0.2">
      <c r="A84" s="294" t="s">
        <v>12</v>
      </c>
      <c r="B84" s="233"/>
      <c r="C84" s="287"/>
      <c r="D84" s="166"/>
      <c r="E84" s="363"/>
      <c r="F84" s="279"/>
      <c r="G84" s="279"/>
      <c r="H84" s="166"/>
      <c r="I84" s="363"/>
      <c r="J84" s="288"/>
      <c r="K84" s="288"/>
      <c r="L84" s="166"/>
      <c r="M84" s="23"/>
    </row>
    <row r="85" spans="1:13" x14ac:dyDescent="0.2">
      <c r="A85" s="294" t="s">
        <v>13</v>
      </c>
      <c r="B85" s="233"/>
      <c r="C85" s="287"/>
      <c r="D85" s="166"/>
      <c r="E85" s="363"/>
      <c r="F85" s="279"/>
      <c r="G85" s="279"/>
      <c r="H85" s="166"/>
      <c r="I85" s="363"/>
      <c r="J85" s="288"/>
      <c r="K85" s="288"/>
      <c r="L85" s="166"/>
      <c r="M85" s="23"/>
    </row>
    <row r="86" spans="1:13" ht="15.75" x14ac:dyDescent="0.2">
      <c r="A86" s="21" t="s">
        <v>389</v>
      </c>
      <c r="B86" s="232"/>
      <c r="C86" s="145"/>
      <c r="D86" s="166"/>
      <c r="E86" s="27"/>
      <c r="F86" s="232"/>
      <c r="G86" s="145"/>
      <c r="H86" s="166"/>
      <c r="I86" s="27"/>
      <c r="J86" s="285"/>
      <c r="K86" s="44"/>
      <c r="L86" s="252"/>
      <c r="M86" s="27"/>
    </row>
    <row r="87" spans="1:13" ht="15.75" x14ac:dyDescent="0.2">
      <c r="A87" s="13" t="s">
        <v>371</v>
      </c>
      <c r="B87" s="350"/>
      <c r="C87" s="350"/>
      <c r="D87" s="171"/>
      <c r="E87" s="11"/>
      <c r="F87" s="349"/>
      <c r="G87" s="349"/>
      <c r="H87" s="171"/>
      <c r="I87" s="11"/>
      <c r="J87" s="307"/>
      <c r="K87" s="234"/>
      <c r="L87" s="371"/>
      <c r="M87" s="11"/>
    </row>
    <row r="88" spans="1:13" x14ac:dyDescent="0.2">
      <c r="A88" s="21" t="s">
        <v>9</v>
      </c>
      <c r="B88" s="232"/>
      <c r="C88" s="145"/>
      <c r="D88" s="166"/>
      <c r="E88" s="27"/>
      <c r="F88" s="232"/>
      <c r="G88" s="145"/>
      <c r="H88" s="166"/>
      <c r="I88" s="27"/>
      <c r="J88" s="285"/>
      <c r="K88" s="44"/>
      <c r="L88" s="252"/>
      <c r="M88" s="27"/>
    </row>
    <row r="89" spans="1:13" x14ac:dyDescent="0.2">
      <c r="A89" s="21" t="s">
        <v>10</v>
      </c>
      <c r="B89" s="232"/>
      <c r="C89" s="145"/>
      <c r="D89" s="166"/>
      <c r="E89" s="27"/>
      <c r="F89" s="232"/>
      <c r="G89" s="145"/>
      <c r="H89" s="166"/>
      <c r="I89" s="27"/>
      <c r="J89" s="285"/>
      <c r="K89" s="44"/>
      <c r="L89" s="252"/>
      <c r="M89" s="27"/>
    </row>
    <row r="90" spans="1:13" ht="15.75" x14ac:dyDescent="0.2">
      <c r="A90" s="294" t="s">
        <v>386</v>
      </c>
      <c r="B90" s="279"/>
      <c r="C90" s="279"/>
      <c r="D90" s="166"/>
      <c r="E90" s="363"/>
      <c r="F90" s="279"/>
      <c r="G90" s="279"/>
      <c r="H90" s="166"/>
      <c r="I90" s="363"/>
      <c r="J90" s="288"/>
      <c r="K90" s="288"/>
      <c r="L90" s="166"/>
      <c r="M90" s="23"/>
    </row>
    <row r="91" spans="1:13" x14ac:dyDescent="0.2">
      <c r="A91" s="294" t="s">
        <v>12</v>
      </c>
      <c r="B91" s="233"/>
      <c r="C91" s="287"/>
      <c r="D91" s="166"/>
      <c r="E91" s="363"/>
      <c r="F91" s="279"/>
      <c r="G91" s="279"/>
      <c r="H91" s="166"/>
      <c r="I91" s="363"/>
      <c r="J91" s="288"/>
      <c r="K91" s="288"/>
      <c r="L91" s="166"/>
      <c r="M91" s="23"/>
    </row>
    <row r="92" spans="1:13" x14ac:dyDescent="0.2">
      <c r="A92" s="294" t="s">
        <v>13</v>
      </c>
      <c r="B92" s="233"/>
      <c r="C92" s="287"/>
      <c r="D92" s="166"/>
      <c r="E92" s="363"/>
      <c r="F92" s="279"/>
      <c r="G92" s="279"/>
      <c r="H92" s="166"/>
      <c r="I92" s="363"/>
      <c r="J92" s="288"/>
      <c r="K92" s="288"/>
      <c r="L92" s="166"/>
      <c r="M92" s="23"/>
    </row>
    <row r="93" spans="1:13" ht="15.75" x14ac:dyDescent="0.2">
      <c r="A93" s="294" t="s">
        <v>387</v>
      </c>
      <c r="B93" s="279"/>
      <c r="C93" s="279"/>
      <c r="D93" s="166"/>
      <c r="E93" s="363"/>
      <c r="F93" s="279"/>
      <c r="G93" s="279"/>
      <c r="H93" s="166"/>
      <c r="I93" s="363"/>
      <c r="J93" s="288"/>
      <c r="K93" s="288"/>
      <c r="L93" s="166"/>
      <c r="M93" s="23"/>
    </row>
    <row r="94" spans="1:13" x14ac:dyDescent="0.2">
      <c r="A94" s="294" t="s">
        <v>12</v>
      </c>
      <c r="B94" s="233"/>
      <c r="C94" s="287"/>
      <c r="D94" s="166"/>
      <c r="E94" s="363"/>
      <c r="F94" s="279"/>
      <c r="G94" s="279"/>
      <c r="H94" s="166"/>
      <c r="I94" s="363"/>
      <c r="J94" s="288"/>
      <c r="K94" s="288"/>
      <c r="L94" s="166"/>
      <c r="M94" s="23"/>
    </row>
    <row r="95" spans="1:13" x14ac:dyDescent="0.2">
      <c r="A95" s="294" t="s">
        <v>13</v>
      </c>
      <c r="B95" s="233"/>
      <c r="C95" s="287"/>
      <c r="D95" s="166"/>
      <c r="E95" s="363"/>
      <c r="F95" s="279"/>
      <c r="G95" s="279"/>
      <c r="H95" s="166"/>
      <c r="I95" s="363"/>
      <c r="J95" s="288"/>
      <c r="K95" s="288"/>
      <c r="L95" s="166"/>
      <c r="M95" s="23"/>
    </row>
    <row r="96" spans="1:13" x14ac:dyDescent="0.2">
      <c r="A96" s="21" t="s">
        <v>354</v>
      </c>
      <c r="B96" s="232"/>
      <c r="C96" s="145"/>
      <c r="D96" s="166"/>
      <c r="E96" s="27"/>
      <c r="F96" s="232"/>
      <c r="G96" s="145"/>
      <c r="H96" s="166"/>
      <c r="I96" s="27"/>
      <c r="J96" s="285"/>
      <c r="K96" s="44"/>
      <c r="L96" s="252"/>
      <c r="M96" s="27"/>
    </row>
    <row r="97" spans="1:13" x14ac:dyDescent="0.2">
      <c r="A97" s="21" t="s">
        <v>353</v>
      </c>
      <c r="B97" s="232"/>
      <c r="C97" s="145"/>
      <c r="D97" s="166"/>
      <c r="E97" s="27"/>
      <c r="F97" s="232"/>
      <c r="G97" s="145"/>
      <c r="H97" s="166"/>
      <c r="I97" s="27"/>
      <c r="J97" s="285"/>
      <c r="K97" s="44"/>
      <c r="L97" s="252"/>
      <c r="M97" s="27"/>
    </row>
    <row r="98" spans="1:13" ht="15.75" x14ac:dyDescent="0.2">
      <c r="A98" s="21" t="s">
        <v>388</v>
      </c>
      <c r="B98" s="232"/>
      <c r="C98" s="232"/>
      <c r="D98" s="166"/>
      <c r="E98" s="27"/>
      <c r="F98" s="290"/>
      <c r="G98" s="290"/>
      <c r="H98" s="166"/>
      <c r="I98" s="27"/>
      <c r="J98" s="285"/>
      <c r="K98" s="44"/>
      <c r="L98" s="252"/>
      <c r="M98" s="27"/>
    </row>
    <row r="99" spans="1:13" x14ac:dyDescent="0.2">
      <c r="A99" s="21" t="s">
        <v>9</v>
      </c>
      <c r="B99" s="290"/>
      <c r="C99" s="291"/>
      <c r="D99" s="166"/>
      <c r="E99" s="27"/>
      <c r="F99" s="232"/>
      <c r="G99" s="145"/>
      <c r="H99" s="166"/>
      <c r="I99" s="27"/>
      <c r="J99" s="285"/>
      <c r="K99" s="44"/>
      <c r="L99" s="252"/>
      <c r="M99" s="27"/>
    </row>
    <row r="100" spans="1:13" x14ac:dyDescent="0.2">
      <c r="A100" s="21" t="s">
        <v>10</v>
      </c>
      <c r="B100" s="290"/>
      <c r="C100" s="291"/>
      <c r="D100" s="166"/>
      <c r="E100" s="27"/>
      <c r="F100" s="232"/>
      <c r="G100" s="232"/>
      <c r="H100" s="166"/>
      <c r="I100" s="27"/>
      <c r="J100" s="285"/>
      <c r="K100" s="44"/>
      <c r="L100" s="252"/>
      <c r="M100" s="27"/>
    </row>
    <row r="101" spans="1:13" ht="15.75" x14ac:dyDescent="0.2">
      <c r="A101" s="294" t="s">
        <v>386</v>
      </c>
      <c r="B101" s="279"/>
      <c r="C101" s="279"/>
      <c r="D101" s="166"/>
      <c r="E101" s="363"/>
      <c r="F101" s="279"/>
      <c r="G101" s="279"/>
      <c r="H101" s="166"/>
      <c r="I101" s="363"/>
      <c r="J101" s="288"/>
      <c r="K101" s="288"/>
      <c r="L101" s="166"/>
      <c r="M101" s="23"/>
    </row>
    <row r="102" spans="1:13" x14ac:dyDescent="0.2">
      <c r="A102" s="294" t="s">
        <v>12</v>
      </c>
      <c r="B102" s="233"/>
      <c r="C102" s="287"/>
      <c r="D102" s="166"/>
      <c r="E102" s="363"/>
      <c r="F102" s="279"/>
      <c r="G102" s="279"/>
      <c r="H102" s="166"/>
      <c r="I102" s="363"/>
      <c r="J102" s="288"/>
      <c r="K102" s="288"/>
      <c r="L102" s="166"/>
      <c r="M102" s="23"/>
    </row>
    <row r="103" spans="1:13" x14ac:dyDescent="0.2">
      <c r="A103" s="294" t="s">
        <v>13</v>
      </c>
      <c r="B103" s="233"/>
      <c r="C103" s="287"/>
      <c r="D103" s="166"/>
      <c r="E103" s="363"/>
      <c r="F103" s="279"/>
      <c r="G103" s="279"/>
      <c r="H103" s="166"/>
      <c r="I103" s="363"/>
      <c r="J103" s="288"/>
      <c r="K103" s="288"/>
      <c r="L103" s="166"/>
      <c r="M103" s="23"/>
    </row>
    <row r="104" spans="1:13" ht="15.75" x14ac:dyDescent="0.2">
      <c r="A104" s="294" t="s">
        <v>387</v>
      </c>
      <c r="B104" s="279"/>
      <c r="C104" s="279"/>
      <c r="D104" s="166"/>
      <c r="E104" s="363"/>
      <c r="F104" s="279"/>
      <c r="G104" s="279"/>
      <c r="H104" s="166"/>
      <c r="I104" s="363"/>
      <c r="J104" s="288"/>
      <c r="K104" s="288"/>
      <c r="L104" s="166"/>
      <c r="M104" s="23"/>
    </row>
    <row r="105" spans="1:13" x14ac:dyDescent="0.2">
      <c r="A105" s="294" t="s">
        <v>12</v>
      </c>
      <c r="B105" s="233"/>
      <c r="C105" s="287"/>
      <c r="D105" s="166"/>
      <c r="E105" s="363"/>
      <c r="F105" s="279"/>
      <c r="G105" s="279"/>
      <c r="H105" s="166"/>
      <c r="I105" s="363"/>
      <c r="J105" s="288"/>
      <c r="K105" s="288"/>
      <c r="L105" s="166"/>
      <c r="M105" s="23"/>
    </row>
    <row r="106" spans="1:13" x14ac:dyDescent="0.2">
      <c r="A106" s="294" t="s">
        <v>13</v>
      </c>
      <c r="B106" s="233"/>
      <c r="C106" s="287"/>
      <c r="D106" s="166"/>
      <c r="E106" s="363"/>
      <c r="F106" s="279"/>
      <c r="G106" s="279"/>
      <c r="H106" s="166"/>
      <c r="I106" s="363"/>
      <c r="J106" s="288"/>
      <c r="K106" s="288"/>
      <c r="L106" s="166"/>
      <c r="M106" s="23"/>
    </row>
    <row r="107" spans="1:13" ht="15.75" x14ac:dyDescent="0.2">
      <c r="A107" s="21" t="s">
        <v>389</v>
      </c>
      <c r="B107" s="232"/>
      <c r="C107" s="145"/>
      <c r="D107" s="166"/>
      <c r="E107" s="27"/>
      <c r="F107" s="232"/>
      <c r="G107" s="145"/>
      <c r="H107" s="166"/>
      <c r="I107" s="27"/>
      <c r="J107" s="285"/>
      <c r="K107" s="44"/>
      <c r="L107" s="252"/>
      <c r="M107" s="27"/>
    </row>
    <row r="108" spans="1:13" ht="15.75" x14ac:dyDescent="0.2">
      <c r="A108" s="21" t="s">
        <v>390</v>
      </c>
      <c r="B108" s="232"/>
      <c r="C108" s="232"/>
      <c r="D108" s="166"/>
      <c r="E108" s="27"/>
      <c r="F108" s="232"/>
      <c r="G108" s="232"/>
      <c r="H108" s="166"/>
      <c r="I108" s="27"/>
      <c r="J108" s="285"/>
      <c r="K108" s="44"/>
      <c r="L108" s="252"/>
      <c r="M108" s="27"/>
    </row>
    <row r="109" spans="1:13" ht="15.75" x14ac:dyDescent="0.2">
      <c r="A109" s="21" t="s">
        <v>391</v>
      </c>
      <c r="B109" s="232"/>
      <c r="C109" s="232"/>
      <c r="D109" s="166"/>
      <c r="E109" s="27"/>
      <c r="F109" s="232"/>
      <c r="G109" s="232"/>
      <c r="H109" s="166"/>
      <c r="I109" s="27"/>
      <c r="J109" s="285"/>
      <c r="K109" s="44"/>
      <c r="L109" s="252"/>
      <c r="M109" s="27"/>
    </row>
    <row r="110" spans="1:13" ht="15.75" x14ac:dyDescent="0.2">
      <c r="A110" s="21" t="s">
        <v>392</v>
      </c>
      <c r="B110" s="232"/>
      <c r="C110" s="232"/>
      <c r="D110" s="166"/>
      <c r="E110" s="27"/>
      <c r="F110" s="232"/>
      <c r="G110" s="232"/>
      <c r="H110" s="166"/>
      <c r="I110" s="27"/>
      <c r="J110" s="285"/>
      <c r="K110" s="44"/>
      <c r="L110" s="252"/>
      <c r="M110" s="27"/>
    </row>
    <row r="111" spans="1:13" ht="15.75" x14ac:dyDescent="0.2">
      <c r="A111" s="13" t="s">
        <v>372</v>
      </c>
      <c r="B111" s="306"/>
      <c r="C111" s="159"/>
      <c r="D111" s="171"/>
      <c r="E111" s="11"/>
      <c r="F111" s="306"/>
      <c r="G111" s="159"/>
      <c r="H111" s="171"/>
      <c r="I111" s="11"/>
      <c r="J111" s="307"/>
      <c r="K111" s="234"/>
      <c r="L111" s="371"/>
      <c r="M111" s="11"/>
    </row>
    <row r="112" spans="1:13" x14ac:dyDescent="0.2">
      <c r="A112" s="21" t="s">
        <v>9</v>
      </c>
      <c r="B112" s="232"/>
      <c r="C112" s="145"/>
      <c r="D112" s="166"/>
      <c r="E112" s="27"/>
      <c r="F112" s="232"/>
      <c r="G112" s="145"/>
      <c r="H112" s="166"/>
      <c r="I112" s="27"/>
      <c r="J112" s="285"/>
      <c r="K112" s="44"/>
      <c r="L112" s="252"/>
      <c r="M112" s="27"/>
    </row>
    <row r="113" spans="1:14" x14ac:dyDescent="0.2">
      <c r="A113" s="21" t="s">
        <v>10</v>
      </c>
      <c r="B113" s="232"/>
      <c r="C113" s="145"/>
      <c r="D113" s="166"/>
      <c r="E113" s="27"/>
      <c r="F113" s="232"/>
      <c r="G113" s="145"/>
      <c r="H113" s="166"/>
      <c r="I113" s="27"/>
      <c r="J113" s="285"/>
      <c r="K113" s="44"/>
      <c r="L113" s="252"/>
      <c r="M113" s="27"/>
    </row>
    <row r="114" spans="1:14" x14ac:dyDescent="0.2">
      <c r="A114" s="21" t="s">
        <v>26</v>
      </c>
      <c r="B114" s="232"/>
      <c r="C114" s="145"/>
      <c r="D114" s="166"/>
      <c r="E114" s="27"/>
      <c r="F114" s="232"/>
      <c r="G114" s="145"/>
      <c r="H114" s="166"/>
      <c r="I114" s="27"/>
      <c r="J114" s="285"/>
      <c r="K114" s="44"/>
      <c r="L114" s="252"/>
      <c r="M114" s="27"/>
    </row>
    <row r="115" spans="1:14" x14ac:dyDescent="0.2">
      <c r="A115" s="294" t="s">
        <v>15</v>
      </c>
      <c r="B115" s="279"/>
      <c r="C115" s="279"/>
      <c r="D115" s="166"/>
      <c r="E115" s="363"/>
      <c r="F115" s="279"/>
      <c r="G115" s="279"/>
      <c r="H115" s="166"/>
      <c r="I115" s="363"/>
      <c r="J115" s="288"/>
      <c r="K115" s="288"/>
      <c r="L115" s="166"/>
      <c r="M115" s="23"/>
    </row>
    <row r="116" spans="1:14" ht="15.75" x14ac:dyDescent="0.2">
      <c r="A116" s="21" t="s">
        <v>393</v>
      </c>
      <c r="B116" s="232"/>
      <c r="C116" s="232"/>
      <c r="D116" s="166"/>
      <c r="E116" s="27"/>
      <c r="F116" s="232"/>
      <c r="G116" s="232"/>
      <c r="H116" s="166"/>
      <c r="I116" s="27"/>
      <c r="J116" s="285"/>
      <c r="K116" s="44"/>
      <c r="L116" s="252"/>
      <c r="M116" s="27"/>
    </row>
    <row r="117" spans="1:14" ht="15.75" x14ac:dyDescent="0.2">
      <c r="A117" s="21" t="s">
        <v>394</v>
      </c>
      <c r="B117" s="232"/>
      <c r="C117" s="232"/>
      <c r="D117" s="166"/>
      <c r="E117" s="27"/>
      <c r="F117" s="232"/>
      <c r="G117" s="232"/>
      <c r="H117" s="166"/>
      <c r="I117" s="27"/>
      <c r="J117" s="285"/>
      <c r="K117" s="44"/>
      <c r="L117" s="252"/>
      <c r="M117" s="27"/>
    </row>
    <row r="118" spans="1:14" ht="15.75" x14ac:dyDescent="0.2">
      <c r="A118" s="21" t="s">
        <v>392</v>
      </c>
      <c r="B118" s="232"/>
      <c r="C118" s="232"/>
      <c r="D118" s="166"/>
      <c r="E118" s="27"/>
      <c r="F118" s="232"/>
      <c r="G118" s="232"/>
      <c r="H118" s="166"/>
      <c r="I118" s="27"/>
      <c r="J118" s="285"/>
      <c r="K118" s="44"/>
      <c r="L118" s="252"/>
      <c r="M118" s="27"/>
    </row>
    <row r="119" spans="1:14" ht="15.75" x14ac:dyDescent="0.2">
      <c r="A119" s="13" t="s">
        <v>373</v>
      </c>
      <c r="B119" s="306"/>
      <c r="C119" s="159"/>
      <c r="D119" s="171"/>
      <c r="E119" s="11"/>
      <c r="F119" s="306"/>
      <c r="G119" s="159"/>
      <c r="H119" s="171"/>
      <c r="I119" s="11"/>
      <c r="J119" s="307"/>
      <c r="K119" s="234"/>
      <c r="L119" s="371"/>
      <c r="M119" s="11"/>
    </row>
    <row r="120" spans="1:14" x14ac:dyDescent="0.2">
      <c r="A120" s="21" t="s">
        <v>9</v>
      </c>
      <c r="B120" s="232"/>
      <c r="C120" s="145"/>
      <c r="D120" s="166"/>
      <c r="E120" s="27"/>
      <c r="F120" s="232"/>
      <c r="G120" s="145"/>
      <c r="H120" s="166"/>
      <c r="I120" s="27"/>
      <c r="J120" s="285"/>
      <c r="K120" s="44"/>
      <c r="L120" s="252"/>
      <c r="M120" s="27"/>
    </row>
    <row r="121" spans="1:14" x14ac:dyDescent="0.2">
      <c r="A121" s="21" t="s">
        <v>10</v>
      </c>
      <c r="B121" s="232"/>
      <c r="C121" s="145"/>
      <c r="D121" s="166"/>
      <c r="E121" s="27"/>
      <c r="F121" s="232"/>
      <c r="G121" s="145"/>
      <c r="H121" s="166"/>
      <c r="I121" s="27"/>
      <c r="J121" s="285"/>
      <c r="K121" s="44"/>
      <c r="L121" s="252"/>
      <c r="M121" s="27"/>
    </row>
    <row r="122" spans="1:14" x14ac:dyDescent="0.2">
      <c r="A122" s="21" t="s">
        <v>26</v>
      </c>
      <c r="B122" s="232"/>
      <c r="C122" s="145"/>
      <c r="D122" s="166"/>
      <c r="E122" s="27"/>
      <c r="F122" s="232"/>
      <c r="G122" s="145"/>
      <c r="H122" s="166"/>
      <c r="I122" s="27"/>
      <c r="J122" s="285"/>
      <c r="K122" s="44"/>
      <c r="L122" s="252"/>
      <c r="M122" s="27"/>
    </row>
    <row r="123" spans="1:14" x14ac:dyDescent="0.2">
      <c r="A123" s="294" t="s">
        <v>14</v>
      </c>
      <c r="B123" s="279"/>
      <c r="C123" s="279"/>
      <c r="D123" s="166"/>
      <c r="E123" s="363"/>
      <c r="F123" s="279"/>
      <c r="G123" s="279"/>
      <c r="H123" s="166"/>
      <c r="I123" s="363"/>
      <c r="J123" s="288"/>
      <c r="K123" s="288"/>
      <c r="L123" s="166"/>
      <c r="M123" s="23"/>
    </row>
    <row r="124" spans="1:14" ht="15.75" x14ac:dyDescent="0.2">
      <c r="A124" s="21" t="s">
        <v>399</v>
      </c>
      <c r="B124" s="232"/>
      <c r="C124" s="232"/>
      <c r="D124" s="166"/>
      <c r="E124" s="27"/>
      <c r="F124" s="232"/>
      <c r="G124" s="232"/>
      <c r="H124" s="166"/>
      <c r="I124" s="27"/>
      <c r="J124" s="285"/>
      <c r="K124" s="44"/>
      <c r="L124" s="252"/>
      <c r="M124" s="27"/>
    </row>
    <row r="125" spans="1:14" ht="15.75" x14ac:dyDescent="0.2">
      <c r="A125" s="21" t="s">
        <v>391</v>
      </c>
      <c r="B125" s="232"/>
      <c r="C125" s="232"/>
      <c r="D125" s="166"/>
      <c r="E125" s="27"/>
      <c r="F125" s="232"/>
      <c r="G125" s="232"/>
      <c r="H125" s="166"/>
      <c r="I125" s="27"/>
      <c r="J125" s="285"/>
      <c r="K125" s="44"/>
      <c r="L125" s="252"/>
      <c r="M125" s="27"/>
    </row>
    <row r="126" spans="1:14" ht="15.75" x14ac:dyDescent="0.2">
      <c r="A126" s="10" t="s">
        <v>392</v>
      </c>
      <c r="B126" s="45"/>
      <c r="C126" s="45"/>
      <c r="D126" s="167"/>
      <c r="E126" s="364"/>
      <c r="F126" s="45"/>
      <c r="G126" s="45"/>
      <c r="H126" s="167"/>
      <c r="I126" s="22"/>
      <c r="J126" s="286"/>
      <c r="K126" s="45"/>
      <c r="L126" s="253"/>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95"/>
      <c r="C130" s="695"/>
      <c r="D130" s="695"/>
      <c r="E130" s="297"/>
      <c r="F130" s="695"/>
      <c r="G130" s="695"/>
      <c r="H130" s="695"/>
      <c r="I130" s="297"/>
      <c r="J130" s="695"/>
      <c r="K130" s="695"/>
      <c r="L130" s="695"/>
      <c r="M130" s="297"/>
    </row>
    <row r="131" spans="1:14" s="3" customFormat="1" x14ac:dyDescent="0.2">
      <c r="A131" s="144"/>
      <c r="B131" s="696" t="s">
        <v>0</v>
      </c>
      <c r="C131" s="697"/>
      <c r="D131" s="697"/>
      <c r="E131" s="299"/>
      <c r="F131" s="696" t="s">
        <v>1</v>
      </c>
      <c r="G131" s="697"/>
      <c r="H131" s="697"/>
      <c r="I131" s="302"/>
      <c r="J131" s="696" t="s">
        <v>2</v>
      </c>
      <c r="K131" s="697"/>
      <c r="L131" s="697"/>
      <c r="M131" s="302"/>
      <c r="N131" s="148"/>
    </row>
    <row r="132" spans="1:14" s="3" customFormat="1" x14ac:dyDescent="0.2">
      <c r="A132" s="140"/>
      <c r="B132" s="152" t="s">
        <v>422</v>
      </c>
      <c r="C132" s="152" t="s">
        <v>423</v>
      </c>
      <c r="D132" s="243" t="s">
        <v>3</v>
      </c>
      <c r="E132" s="303" t="s">
        <v>29</v>
      </c>
      <c r="F132" s="152" t="s">
        <v>422</v>
      </c>
      <c r="G132" s="152" t="s">
        <v>423</v>
      </c>
      <c r="H132" s="205" t="s">
        <v>3</v>
      </c>
      <c r="I132" s="162" t="s">
        <v>29</v>
      </c>
      <c r="J132" s="152" t="s">
        <v>422</v>
      </c>
      <c r="K132" s="152" t="s">
        <v>423</v>
      </c>
      <c r="L132" s="244" t="s">
        <v>3</v>
      </c>
      <c r="M132" s="162" t="s">
        <v>29</v>
      </c>
      <c r="N132" s="148"/>
    </row>
    <row r="133" spans="1:14" s="3" customFormat="1" x14ac:dyDescent="0.2">
      <c r="A133" s="666"/>
      <c r="B133" s="156"/>
      <c r="C133" s="156"/>
      <c r="D133" s="244" t="s">
        <v>4</v>
      </c>
      <c r="E133" s="156" t="s">
        <v>30</v>
      </c>
      <c r="F133" s="161"/>
      <c r="G133" s="161"/>
      <c r="H133" s="205" t="s">
        <v>4</v>
      </c>
      <c r="I133" s="156" t="s">
        <v>30</v>
      </c>
      <c r="J133" s="156"/>
      <c r="K133" s="156"/>
      <c r="L133" s="150" t="s">
        <v>4</v>
      </c>
      <c r="M133" s="156" t="s">
        <v>30</v>
      </c>
      <c r="N133" s="148"/>
    </row>
    <row r="134" spans="1:14" s="3" customFormat="1" ht="15.75" x14ac:dyDescent="0.2">
      <c r="A134" s="14" t="s">
        <v>395</v>
      </c>
      <c r="B134" s="234"/>
      <c r="C134" s="307"/>
      <c r="D134" s="347"/>
      <c r="E134" s="11"/>
      <c r="F134" s="314"/>
      <c r="G134" s="315"/>
      <c r="H134" s="374"/>
      <c r="I134" s="24"/>
      <c r="J134" s="316"/>
      <c r="K134" s="316"/>
      <c r="L134" s="370"/>
      <c r="M134" s="11"/>
      <c r="N134" s="148"/>
    </row>
    <row r="135" spans="1:14" s="3" customFormat="1" ht="15.75" x14ac:dyDescent="0.2">
      <c r="A135" s="13" t="s">
        <v>400</v>
      </c>
      <c r="B135" s="234"/>
      <c r="C135" s="307"/>
      <c r="D135" s="171"/>
      <c r="E135" s="11"/>
      <c r="F135" s="234"/>
      <c r="G135" s="307"/>
      <c r="H135" s="375"/>
      <c r="I135" s="24"/>
      <c r="J135" s="306"/>
      <c r="K135" s="306"/>
      <c r="L135" s="371"/>
      <c r="M135" s="11"/>
      <c r="N135" s="148"/>
    </row>
    <row r="136" spans="1:14" s="3" customFormat="1" ht="15.75" x14ac:dyDescent="0.2">
      <c r="A136" s="13" t="s">
        <v>397</v>
      </c>
      <c r="B136" s="234"/>
      <c r="C136" s="307"/>
      <c r="D136" s="171"/>
      <c r="E136" s="11"/>
      <c r="F136" s="234"/>
      <c r="G136" s="307"/>
      <c r="H136" s="375"/>
      <c r="I136" s="24"/>
      <c r="J136" s="306"/>
      <c r="K136" s="306"/>
      <c r="L136" s="371"/>
      <c r="M136" s="11"/>
      <c r="N136" s="148"/>
    </row>
    <row r="137" spans="1:14" s="3" customFormat="1" ht="15.75" x14ac:dyDescent="0.2">
      <c r="A137" s="41" t="s">
        <v>398</v>
      </c>
      <c r="B137" s="274"/>
      <c r="C137" s="313"/>
      <c r="D137" s="169"/>
      <c r="E137" s="9"/>
      <c r="F137" s="274"/>
      <c r="G137" s="313"/>
      <c r="H137" s="376"/>
      <c r="I137" s="36"/>
      <c r="J137" s="312"/>
      <c r="K137" s="312"/>
      <c r="L137" s="372"/>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399" priority="132">
      <formula>kvartal &lt; 4</formula>
    </cfRule>
  </conditionalFormatting>
  <conditionalFormatting sqref="B69">
    <cfRule type="expression" dxfId="1398" priority="100">
      <formula>kvartal &lt; 4</formula>
    </cfRule>
  </conditionalFormatting>
  <conditionalFormatting sqref="C69">
    <cfRule type="expression" dxfId="1397" priority="99">
      <formula>kvartal &lt; 4</formula>
    </cfRule>
  </conditionalFormatting>
  <conditionalFormatting sqref="B72">
    <cfRule type="expression" dxfId="1396" priority="98">
      <formula>kvartal &lt; 4</formula>
    </cfRule>
  </conditionalFormatting>
  <conditionalFormatting sqref="C72">
    <cfRule type="expression" dxfId="1395" priority="97">
      <formula>kvartal &lt; 4</formula>
    </cfRule>
  </conditionalFormatting>
  <conditionalFormatting sqref="B80">
    <cfRule type="expression" dxfId="1394" priority="96">
      <formula>kvartal &lt; 4</formula>
    </cfRule>
  </conditionalFormatting>
  <conditionalFormatting sqref="C80">
    <cfRule type="expression" dxfId="1393" priority="95">
      <formula>kvartal &lt; 4</formula>
    </cfRule>
  </conditionalFormatting>
  <conditionalFormatting sqref="B83">
    <cfRule type="expression" dxfId="1392" priority="94">
      <formula>kvartal &lt; 4</formula>
    </cfRule>
  </conditionalFormatting>
  <conditionalFormatting sqref="C83">
    <cfRule type="expression" dxfId="1391" priority="93">
      <formula>kvartal &lt; 4</formula>
    </cfRule>
  </conditionalFormatting>
  <conditionalFormatting sqref="B90">
    <cfRule type="expression" dxfId="1390" priority="84">
      <formula>kvartal &lt; 4</formula>
    </cfRule>
  </conditionalFormatting>
  <conditionalFormatting sqref="C90">
    <cfRule type="expression" dxfId="1389" priority="83">
      <formula>kvartal &lt; 4</formula>
    </cfRule>
  </conditionalFormatting>
  <conditionalFormatting sqref="B93">
    <cfRule type="expression" dxfId="1388" priority="82">
      <formula>kvartal &lt; 4</formula>
    </cfRule>
  </conditionalFormatting>
  <conditionalFormatting sqref="C93">
    <cfRule type="expression" dxfId="1387" priority="81">
      <formula>kvartal &lt; 4</formula>
    </cfRule>
  </conditionalFormatting>
  <conditionalFormatting sqref="B101">
    <cfRule type="expression" dxfId="1386" priority="80">
      <formula>kvartal &lt; 4</formula>
    </cfRule>
  </conditionalFormatting>
  <conditionalFormatting sqref="C101">
    <cfRule type="expression" dxfId="1385" priority="79">
      <formula>kvartal &lt; 4</formula>
    </cfRule>
  </conditionalFormatting>
  <conditionalFormatting sqref="B104">
    <cfRule type="expression" dxfId="1384" priority="78">
      <formula>kvartal &lt; 4</formula>
    </cfRule>
  </conditionalFormatting>
  <conditionalFormatting sqref="C104">
    <cfRule type="expression" dxfId="1383" priority="77">
      <formula>kvartal &lt; 4</formula>
    </cfRule>
  </conditionalFormatting>
  <conditionalFormatting sqref="B115">
    <cfRule type="expression" dxfId="1382" priority="76">
      <formula>kvartal &lt; 4</formula>
    </cfRule>
  </conditionalFormatting>
  <conditionalFormatting sqref="C115">
    <cfRule type="expression" dxfId="1381" priority="75">
      <formula>kvartal &lt; 4</formula>
    </cfRule>
  </conditionalFormatting>
  <conditionalFormatting sqref="B123">
    <cfRule type="expression" dxfId="1380" priority="74">
      <formula>kvartal &lt; 4</formula>
    </cfRule>
  </conditionalFormatting>
  <conditionalFormatting sqref="C123">
    <cfRule type="expression" dxfId="1379" priority="73">
      <formula>kvartal &lt; 4</formula>
    </cfRule>
  </conditionalFormatting>
  <conditionalFormatting sqref="F70">
    <cfRule type="expression" dxfId="1378" priority="72">
      <formula>kvartal &lt; 4</formula>
    </cfRule>
  </conditionalFormatting>
  <conditionalFormatting sqref="G70">
    <cfRule type="expression" dxfId="1377" priority="71">
      <formula>kvartal &lt; 4</formula>
    </cfRule>
  </conditionalFormatting>
  <conditionalFormatting sqref="F71:G71">
    <cfRule type="expression" dxfId="1376" priority="70">
      <formula>kvartal &lt; 4</formula>
    </cfRule>
  </conditionalFormatting>
  <conditionalFormatting sqref="F73:G74">
    <cfRule type="expression" dxfId="1375" priority="69">
      <formula>kvartal &lt; 4</formula>
    </cfRule>
  </conditionalFormatting>
  <conditionalFormatting sqref="F81:G82">
    <cfRule type="expression" dxfId="1374" priority="68">
      <formula>kvartal &lt; 4</formula>
    </cfRule>
  </conditionalFormatting>
  <conditionalFormatting sqref="F84:G85">
    <cfRule type="expression" dxfId="1373" priority="67">
      <formula>kvartal &lt; 4</formula>
    </cfRule>
  </conditionalFormatting>
  <conditionalFormatting sqref="F91:G92">
    <cfRule type="expression" dxfId="1372" priority="62">
      <formula>kvartal &lt; 4</formula>
    </cfRule>
  </conditionalFormatting>
  <conditionalFormatting sqref="F94:G95">
    <cfRule type="expression" dxfId="1371" priority="61">
      <formula>kvartal &lt; 4</formula>
    </cfRule>
  </conditionalFormatting>
  <conditionalFormatting sqref="F102:G103">
    <cfRule type="expression" dxfId="1370" priority="60">
      <formula>kvartal &lt; 4</formula>
    </cfRule>
  </conditionalFormatting>
  <conditionalFormatting sqref="F105:G106">
    <cfRule type="expression" dxfId="1369" priority="59">
      <formula>kvartal &lt; 4</formula>
    </cfRule>
  </conditionalFormatting>
  <conditionalFormatting sqref="F115">
    <cfRule type="expression" dxfId="1368" priority="58">
      <formula>kvartal &lt; 4</formula>
    </cfRule>
  </conditionalFormatting>
  <conditionalFormatting sqref="G115">
    <cfRule type="expression" dxfId="1367" priority="57">
      <formula>kvartal &lt; 4</formula>
    </cfRule>
  </conditionalFormatting>
  <conditionalFormatting sqref="F123:G123">
    <cfRule type="expression" dxfId="1366" priority="56">
      <formula>kvartal &lt; 4</formula>
    </cfRule>
  </conditionalFormatting>
  <conditionalFormatting sqref="F69:G69">
    <cfRule type="expression" dxfId="1365" priority="55">
      <formula>kvartal &lt; 4</formula>
    </cfRule>
  </conditionalFormatting>
  <conditionalFormatting sqref="F72:G72">
    <cfRule type="expression" dxfId="1364" priority="54">
      <formula>kvartal &lt; 4</formula>
    </cfRule>
  </conditionalFormatting>
  <conditionalFormatting sqref="F80:G80">
    <cfRule type="expression" dxfId="1363" priority="53">
      <formula>kvartal &lt; 4</formula>
    </cfRule>
  </conditionalFormatting>
  <conditionalFormatting sqref="F83:G83">
    <cfRule type="expression" dxfId="1362" priority="52">
      <formula>kvartal &lt; 4</formula>
    </cfRule>
  </conditionalFormatting>
  <conditionalFormatting sqref="F90:G90">
    <cfRule type="expression" dxfId="1361" priority="46">
      <formula>kvartal &lt; 4</formula>
    </cfRule>
  </conditionalFormatting>
  <conditionalFormatting sqref="F93">
    <cfRule type="expression" dxfId="1360" priority="45">
      <formula>kvartal &lt; 4</formula>
    </cfRule>
  </conditionalFormatting>
  <conditionalFormatting sqref="G93">
    <cfRule type="expression" dxfId="1359" priority="44">
      <formula>kvartal &lt; 4</formula>
    </cfRule>
  </conditionalFormatting>
  <conditionalFormatting sqref="F101">
    <cfRule type="expression" dxfId="1358" priority="43">
      <formula>kvartal &lt; 4</formula>
    </cfRule>
  </conditionalFormatting>
  <conditionalFormatting sqref="G101">
    <cfRule type="expression" dxfId="1357" priority="42">
      <formula>kvartal &lt; 4</formula>
    </cfRule>
  </conditionalFormatting>
  <conditionalFormatting sqref="G104">
    <cfRule type="expression" dxfId="1356" priority="41">
      <formula>kvartal &lt; 4</formula>
    </cfRule>
  </conditionalFormatting>
  <conditionalFormatting sqref="F104">
    <cfRule type="expression" dxfId="1355" priority="40">
      <formula>kvartal &lt; 4</formula>
    </cfRule>
  </conditionalFormatting>
  <conditionalFormatting sqref="J69:K73">
    <cfRule type="expression" dxfId="1354" priority="39">
      <formula>kvartal &lt; 4</formula>
    </cfRule>
  </conditionalFormatting>
  <conditionalFormatting sqref="J74:K74">
    <cfRule type="expression" dxfId="1353" priority="38">
      <formula>kvartal &lt; 4</formula>
    </cfRule>
  </conditionalFormatting>
  <conditionalFormatting sqref="J80:K85">
    <cfRule type="expression" dxfId="1352" priority="37">
      <formula>kvartal &lt; 4</formula>
    </cfRule>
  </conditionalFormatting>
  <conditionalFormatting sqref="J90:K95">
    <cfRule type="expression" dxfId="1351" priority="34">
      <formula>kvartal &lt; 4</formula>
    </cfRule>
  </conditionalFormatting>
  <conditionalFormatting sqref="J101:K106">
    <cfRule type="expression" dxfId="1350" priority="33">
      <formula>kvartal &lt; 4</formula>
    </cfRule>
  </conditionalFormatting>
  <conditionalFormatting sqref="J115:K115">
    <cfRule type="expression" dxfId="1349" priority="32">
      <formula>kvartal &lt; 4</formula>
    </cfRule>
  </conditionalFormatting>
  <conditionalFormatting sqref="J123:K123">
    <cfRule type="expression" dxfId="1348" priority="31">
      <formula>kvartal &lt; 4</formula>
    </cfRule>
  </conditionalFormatting>
  <conditionalFormatting sqref="A50:A52">
    <cfRule type="expression" dxfId="1347" priority="12">
      <formula>kvartal &lt; 4</formula>
    </cfRule>
  </conditionalFormatting>
  <conditionalFormatting sqref="A69:A74">
    <cfRule type="expression" dxfId="1346" priority="10">
      <formula>kvartal &lt; 4</formula>
    </cfRule>
  </conditionalFormatting>
  <conditionalFormatting sqref="A80:A85">
    <cfRule type="expression" dxfId="1345" priority="9">
      <formula>kvartal &lt; 4</formula>
    </cfRule>
  </conditionalFormatting>
  <conditionalFormatting sqref="A90:A95">
    <cfRule type="expression" dxfId="1344" priority="6">
      <formula>kvartal &lt; 4</formula>
    </cfRule>
  </conditionalFormatting>
  <conditionalFormatting sqref="A101:A106">
    <cfRule type="expression" dxfId="1343" priority="5">
      <formula>kvartal &lt; 4</formula>
    </cfRule>
  </conditionalFormatting>
  <conditionalFormatting sqref="A115">
    <cfRule type="expression" dxfId="1342" priority="4">
      <formula>kvartal &lt; 4</formula>
    </cfRule>
  </conditionalFormatting>
  <conditionalFormatting sqref="A123">
    <cfRule type="expression" dxfId="1341" priority="3">
      <formula>kvartal &lt; 4</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dimension ref="A1:Q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7" x14ac:dyDescent="0.2">
      <c r="A1" s="172" t="s">
        <v>142</v>
      </c>
      <c r="B1" s="664"/>
      <c r="C1" s="246" t="s">
        <v>131</v>
      </c>
      <c r="D1" s="26"/>
      <c r="E1" s="26"/>
      <c r="F1" s="26"/>
      <c r="G1" s="26"/>
      <c r="H1" s="26"/>
      <c r="I1" s="26"/>
      <c r="J1" s="26"/>
      <c r="K1" s="26"/>
      <c r="L1" s="26"/>
      <c r="M1" s="26"/>
    </row>
    <row r="2" spans="1:17" ht="15.75" x14ac:dyDescent="0.25">
      <c r="A2" s="165" t="s">
        <v>28</v>
      </c>
      <c r="B2" s="700"/>
      <c r="C2" s="700"/>
      <c r="D2" s="700"/>
      <c r="E2" s="297"/>
      <c r="F2" s="700"/>
      <c r="G2" s="700"/>
      <c r="H2" s="700"/>
      <c r="I2" s="297"/>
      <c r="J2" s="700"/>
      <c r="K2" s="700"/>
      <c r="L2" s="700"/>
      <c r="M2" s="297"/>
    </row>
    <row r="3" spans="1:17" ht="15.75" x14ac:dyDescent="0.25">
      <c r="A3" s="163"/>
      <c r="B3" s="297"/>
      <c r="C3" s="297"/>
      <c r="D3" s="297"/>
      <c r="E3" s="297"/>
      <c r="F3" s="297"/>
      <c r="G3" s="297"/>
      <c r="H3" s="297"/>
      <c r="I3" s="297"/>
      <c r="J3" s="297"/>
      <c r="K3" s="297"/>
      <c r="L3" s="297"/>
      <c r="M3" s="297"/>
    </row>
    <row r="4" spans="1:17" x14ac:dyDescent="0.2">
      <c r="A4" s="144"/>
      <c r="B4" s="696" t="s">
        <v>0</v>
      </c>
      <c r="C4" s="697"/>
      <c r="D4" s="697"/>
      <c r="E4" s="299"/>
      <c r="F4" s="696" t="s">
        <v>1</v>
      </c>
      <c r="G4" s="697"/>
      <c r="H4" s="697"/>
      <c r="I4" s="302"/>
      <c r="J4" s="696" t="s">
        <v>2</v>
      </c>
      <c r="K4" s="697"/>
      <c r="L4" s="697"/>
      <c r="M4" s="302"/>
    </row>
    <row r="5" spans="1:17" x14ac:dyDescent="0.2">
      <c r="A5" s="158"/>
      <c r="B5" s="152" t="s">
        <v>422</v>
      </c>
      <c r="C5" s="152" t="s">
        <v>423</v>
      </c>
      <c r="D5" s="243" t="s">
        <v>3</v>
      </c>
      <c r="E5" s="303" t="s">
        <v>29</v>
      </c>
      <c r="F5" s="152" t="s">
        <v>422</v>
      </c>
      <c r="G5" s="152" t="s">
        <v>423</v>
      </c>
      <c r="H5" s="243" t="s">
        <v>3</v>
      </c>
      <c r="I5" s="162" t="s">
        <v>29</v>
      </c>
      <c r="J5" s="152" t="s">
        <v>422</v>
      </c>
      <c r="K5" s="152" t="s">
        <v>423</v>
      </c>
      <c r="L5" s="243" t="s">
        <v>3</v>
      </c>
      <c r="M5" s="162" t="s">
        <v>29</v>
      </c>
    </row>
    <row r="6" spans="1:17" x14ac:dyDescent="0.2">
      <c r="A6" s="665"/>
      <c r="B6" s="156"/>
      <c r="C6" s="156"/>
      <c r="D6" s="244" t="s">
        <v>4</v>
      </c>
      <c r="E6" s="156" t="s">
        <v>30</v>
      </c>
      <c r="F6" s="161"/>
      <c r="G6" s="161"/>
      <c r="H6" s="243" t="s">
        <v>4</v>
      </c>
      <c r="I6" s="156" t="s">
        <v>30</v>
      </c>
      <c r="J6" s="161"/>
      <c r="K6" s="161"/>
      <c r="L6" s="243" t="s">
        <v>4</v>
      </c>
      <c r="M6" s="156" t="s">
        <v>30</v>
      </c>
    </row>
    <row r="7" spans="1:17" ht="15.75" x14ac:dyDescent="0.2">
      <c r="A7" s="14" t="s">
        <v>23</v>
      </c>
      <c r="B7" s="667">
        <v>180830</v>
      </c>
      <c r="C7" s="668">
        <v>195442</v>
      </c>
      <c r="D7" s="347">
        <f>IF(B7=0, "    ---- ", IF(ABS(ROUND(100/B7*C7-100,1))&lt;999,ROUND(100/B7*C7-100,1),IF(ROUND(100/B7*C7-100,1)&gt;999,999,-999)))</f>
        <v>8.1</v>
      </c>
      <c r="E7" s="11">
        <f>IFERROR(100/'Skjema total MA'!C7*C7,0)</f>
        <v>7.3596066913004812</v>
      </c>
      <c r="F7" s="304"/>
      <c r="G7" s="305"/>
      <c r="H7" s="347"/>
      <c r="I7" s="160"/>
      <c r="J7" s="306">
        <f t="shared" ref="J7:K10" si="0">SUM(B7,F7)</f>
        <v>180830</v>
      </c>
      <c r="K7" s="307">
        <f t="shared" si="0"/>
        <v>195442</v>
      </c>
      <c r="L7" s="370">
        <f>IF(J7=0, "    ---- ", IF(ABS(ROUND(100/J7*K7-100,1))&lt;999,ROUND(100/J7*K7-100,1),IF(ROUND(100/J7*K7-100,1)&gt;999,999,-999)))</f>
        <v>8.1</v>
      </c>
      <c r="M7" s="11">
        <f>IFERROR(100/'Skjema total MA'!I7*K7,0)</f>
        <v>2.5438590125500822</v>
      </c>
    </row>
    <row r="8" spans="1:17" ht="15.75" x14ac:dyDescent="0.2">
      <c r="A8" s="21" t="s">
        <v>25</v>
      </c>
      <c r="B8" s="669">
        <v>153985</v>
      </c>
      <c r="C8" s="670">
        <v>168068</v>
      </c>
      <c r="D8" s="166">
        <f t="shared" ref="D8:D10" si="1">IF(B8=0, "    ---- ", IF(ABS(ROUND(100/B8*C8-100,1))&lt;999,ROUND(100/B8*C8-100,1),IF(ROUND(100/B8*C8-100,1)&gt;999,999,-999)))</f>
        <v>9.1</v>
      </c>
      <c r="E8" s="27">
        <f>IFERROR(100/'Skjema total MA'!C8*C8,0)</f>
        <v>10.523055073235268</v>
      </c>
      <c r="F8" s="283"/>
      <c r="G8" s="284"/>
      <c r="H8" s="166"/>
      <c r="I8" s="175"/>
      <c r="J8" s="232">
        <f t="shared" si="0"/>
        <v>153985</v>
      </c>
      <c r="K8" s="285">
        <f t="shared" si="0"/>
        <v>168068</v>
      </c>
      <c r="L8" s="166">
        <f t="shared" ref="L8:L9" si="2">IF(J8=0, "    ---- ", IF(ABS(ROUND(100/J8*K8-100,1))&lt;999,ROUND(100/J8*K8-100,1),IF(ROUND(100/J8*K8-100,1)&gt;999,999,-999)))</f>
        <v>9.1</v>
      </c>
      <c r="M8" s="27">
        <f>IFERROR(100/'Skjema total MA'!I8*K8,0)</f>
        <v>10.523055073235268</v>
      </c>
    </row>
    <row r="9" spans="1:17" ht="15.75" x14ac:dyDescent="0.2">
      <c r="A9" s="21" t="s">
        <v>24</v>
      </c>
      <c r="B9" s="669">
        <v>26845</v>
      </c>
      <c r="C9" s="670">
        <v>27374</v>
      </c>
      <c r="D9" s="166">
        <f t="shared" si="1"/>
        <v>2</v>
      </c>
      <c r="E9" s="27">
        <f>IFERROR(100/'Skjema total MA'!C9*C9,0)</f>
        <v>4.7013350839068586</v>
      </c>
      <c r="F9" s="283"/>
      <c r="G9" s="284"/>
      <c r="H9" s="166"/>
      <c r="I9" s="175"/>
      <c r="J9" s="232">
        <f t="shared" si="0"/>
        <v>26845</v>
      </c>
      <c r="K9" s="285">
        <f t="shared" si="0"/>
        <v>27374</v>
      </c>
      <c r="L9" s="166">
        <f t="shared" si="2"/>
        <v>2</v>
      </c>
      <c r="M9" s="27">
        <f>IFERROR(100/'Skjema total MA'!I9*K9,0)</f>
        <v>4.7013350839068586</v>
      </c>
    </row>
    <row r="10" spans="1:17" ht="15.75" x14ac:dyDescent="0.2">
      <c r="A10" s="13" t="s">
        <v>371</v>
      </c>
      <c r="B10" s="671">
        <v>153179</v>
      </c>
      <c r="C10" s="672">
        <v>165437</v>
      </c>
      <c r="D10" s="171">
        <f t="shared" si="1"/>
        <v>8</v>
      </c>
      <c r="E10" s="11">
        <f>IFERROR(100/'Skjema total MA'!C10*C10,0)</f>
        <v>0.83998190886041624</v>
      </c>
      <c r="F10" s="308"/>
      <c r="G10" s="309"/>
      <c r="H10" s="171"/>
      <c r="I10" s="160"/>
      <c r="J10" s="306">
        <f t="shared" si="0"/>
        <v>153179</v>
      </c>
      <c r="K10" s="307">
        <f t="shared" si="0"/>
        <v>165437</v>
      </c>
      <c r="L10" s="371">
        <f t="shared" ref="L10" si="3">IF(J10=0, "    ---- ", IF(ABS(ROUND(100/J10*K10-100,1))&lt;999,ROUND(100/J10*K10-100,1),IF(ROUND(100/J10*K10-100,1)&gt;999,999,-999)))</f>
        <v>8</v>
      </c>
      <c r="M10" s="11">
        <f>IFERROR(100/'Skjema total MA'!I10*K10,0)</f>
        <v>0.2502860756584831</v>
      </c>
    </row>
    <row r="11" spans="1:17" s="43" customFormat="1" ht="15.75" x14ac:dyDescent="0.2">
      <c r="A11" s="13" t="s">
        <v>372</v>
      </c>
      <c r="B11" s="308"/>
      <c r="C11" s="309"/>
      <c r="D11" s="171"/>
      <c r="E11" s="11"/>
      <c r="F11" s="308"/>
      <c r="G11" s="309"/>
      <c r="H11" s="171"/>
      <c r="I11" s="160"/>
      <c r="J11" s="306"/>
      <c r="K11" s="307"/>
      <c r="L11" s="371"/>
      <c r="M11" s="11"/>
      <c r="N11" s="143"/>
      <c r="Q11" s="143"/>
    </row>
    <row r="12" spans="1:17" s="43" customFormat="1" ht="15.75" x14ac:dyDescent="0.2">
      <c r="A12" s="41" t="s">
        <v>373</v>
      </c>
      <c r="B12" s="310"/>
      <c r="C12" s="311"/>
      <c r="D12" s="169"/>
      <c r="E12" s="36"/>
      <c r="F12" s="310"/>
      <c r="G12" s="311"/>
      <c r="H12" s="169"/>
      <c r="I12" s="169"/>
      <c r="J12" s="312"/>
      <c r="K12" s="313"/>
      <c r="L12" s="372"/>
      <c r="M12" s="36"/>
      <c r="N12" s="143"/>
    </row>
    <row r="13" spans="1:17" s="43" customFormat="1" x14ac:dyDescent="0.2">
      <c r="A13" s="168"/>
      <c r="B13" s="145"/>
      <c r="C13" s="33"/>
      <c r="D13" s="159"/>
      <c r="E13" s="159"/>
      <c r="F13" s="145"/>
      <c r="G13" s="33"/>
      <c r="H13" s="159"/>
      <c r="I13" s="159"/>
      <c r="J13" s="48"/>
      <c r="K13" s="48"/>
      <c r="L13" s="159"/>
      <c r="M13" s="159"/>
      <c r="N13" s="143"/>
    </row>
    <row r="14" spans="1:17" x14ac:dyDescent="0.2">
      <c r="A14" s="153" t="s">
        <v>281</v>
      </c>
      <c r="B14" s="26"/>
    </row>
    <row r="15" spans="1:17" x14ac:dyDescent="0.2">
      <c r="F15" s="146"/>
      <c r="G15" s="146"/>
      <c r="H15" s="146"/>
      <c r="I15" s="146"/>
      <c r="J15" s="146"/>
      <c r="K15" s="146"/>
      <c r="L15" s="146"/>
      <c r="M15" s="146"/>
    </row>
    <row r="16" spans="1:17"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95"/>
      <c r="C18" s="695"/>
      <c r="D18" s="695"/>
      <c r="E18" s="297"/>
      <c r="F18" s="695"/>
      <c r="G18" s="695"/>
      <c r="H18" s="695"/>
      <c r="I18" s="297"/>
      <c r="J18" s="695"/>
      <c r="K18" s="695"/>
      <c r="L18" s="695"/>
      <c r="M18" s="297"/>
    </row>
    <row r="19" spans="1:14" x14ac:dyDescent="0.2">
      <c r="A19" s="144"/>
      <c r="B19" s="696" t="s">
        <v>0</v>
      </c>
      <c r="C19" s="697"/>
      <c r="D19" s="697"/>
      <c r="E19" s="299"/>
      <c r="F19" s="696" t="s">
        <v>1</v>
      </c>
      <c r="G19" s="697"/>
      <c r="H19" s="697"/>
      <c r="I19" s="302"/>
      <c r="J19" s="696" t="s">
        <v>2</v>
      </c>
      <c r="K19" s="697"/>
      <c r="L19" s="697"/>
      <c r="M19" s="302"/>
    </row>
    <row r="20" spans="1:14" x14ac:dyDescent="0.2">
      <c r="A20" s="140" t="s">
        <v>5</v>
      </c>
      <c r="B20" s="152" t="s">
        <v>422</v>
      </c>
      <c r="C20" s="152" t="s">
        <v>423</v>
      </c>
      <c r="D20" s="162" t="s">
        <v>3</v>
      </c>
      <c r="E20" s="303" t="s">
        <v>29</v>
      </c>
      <c r="F20" s="152" t="s">
        <v>422</v>
      </c>
      <c r="G20" s="152" t="s">
        <v>423</v>
      </c>
      <c r="H20" s="162" t="s">
        <v>3</v>
      </c>
      <c r="I20" s="162" t="s">
        <v>29</v>
      </c>
      <c r="J20" s="152" t="s">
        <v>422</v>
      </c>
      <c r="K20" s="152" t="s">
        <v>423</v>
      </c>
      <c r="L20" s="162" t="s">
        <v>3</v>
      </c>
      <c r="M20" s="162" t="s">
        <v>29</v>
      </c>
    </row>
    <row r="21" spans="1:14" x14ac:dyDescent="0.2">
      <c r="A21" s="666"/>
      <c r="B21" s="156"/>
      <c r="C21" s="156"/>
      <c r="D21" s="244" t="s">
        <v>4</v>
      </c>
      <c r="E21" s="156" t="s">
        <v>30</v>
      </c>
      <c r="F21" s="161"/>
      <c r="G21" s="161"/>
      <c r="H21" s="243" t="s">
        <v>4</v>
      </c>
      <c r="I21" s="156" t="s">
        <v>30</v>
      </c>
      <c r="J21" s="161"/>
      <c r="K21" s="161"/>
      <c r="L21" s="156" t="s">
        <v>4</v>
      </c>
      <c r="M21" s="156" t="s">
        <v>30</v>
      </c>
    </row>
    <row r="22" spans="1:14" ht="15.75" x14ac:dyDescent="0.2">
      <c r="A22" s="14" t="s">
        <v>23</v>
      </c>
      <c r="B22" s="308">
        <v>175173</v>
      </c>
      <c r="C22" s="308">
        <v>183177</v>
      </c>
      <c r="D22" s="347">
        <f t="shared" ref="D22:D32" si="4">IF(B22=0, "    ---- ", IF(ABS(ROUND(100/B22*C22-100,1))&lt;999,ROUND(100/B22*C22-100,1),IF(ROUND(100/B22*C22-100,1)&gt;999,999,-999)))</f>
        <v>4.5999999999999996</v>
      </c>
      <c r="E22" s="11">
        <f>IFERROR(100/'Skjema total MA'!C22*C22,0)</f>
        <v>17.713884886530767</v>
      </c>
      <c r="F22" s="316">
        <v>6231</v>
      </c>
      <c r="G22" s="316">
        <v>6221</v>
      </c>
      <c r="H22" s="347">
        <f t="shared" ref="H22:H29" si="5">IF(F22=0, "    ---- ", IF(ABS(ROUND(100/F22*G22-100,1))&lt;999,ROUND(100/F22*G22-100,1),IF(ROUND(100/F22*G22-100,1)&gt;999,999,-999)))</f>
        <v>-0.2</v>
      </c>
      <c r="I22" s="11">
        <f>IFERROR(100/'Skjema total MA'!F22*G22,0)</f>
        <v>1.1238269239759973</v>
      </c>
      <c r="J22" s="314">
        <f t="shared" ref="J22:K29" si="6">SUM(B22,F22)</f>
        <v>181404</v>
      </c>
      <c r="K22" s="314">
        <f t="shared" si="6"/>
        <v>189398</v>
      </c>
      <c r="L22" s="370">
        <f t="shared" ref="L22:L30" si="7">IF(J22=0, "    ---- ", IF(ABS(ROUND(100/J22*K22-100,1))&lt;999,ROUND(100/J22*K22-100,1),IF(ROUND(100/J22*K22-100,1)&gt;999,999,-999)))</f>
        <v>4.4000000000000004</v>
      </c>
      <c r="M22" s="24">
        <f>IFERROR(100/'Skjema total MA'!I22*K22,0)</f>
        <v>11.929514868187654</v>
      </c>
    </row>
    <row r="23" spans="1:14" ht="15.75" x14ac:dyDescent="0.2">
      <c r="A23" s="551" t="s">
        <v>374</v>
      </c>
      <c r="B23" s="279">
        <v>174623</v>
      </c>
      <c r="C23" s="279">
        <v>182627</v>
      </c>
      <c r="D23" s="166">
        <f t="shared" si="4"/>
        <v>4.5999999999999996</v>
      </c>
      <c r="E23" s="11">
        <f>IFERROR(100/'Skjema total MA'!C23*C23,0)</f>
        <v>24.014372286953844</v>
      </c>
      <c r="F23" s="288"/>
      <c r="G23" s="288"/>
      <c r="H23" s="166"/>
      <c r="I23" s="363"/>
      <c r="J23" s="288">
        <f t="shared" ref="J23:J26" si="8">SUM(B23,F23)</f>
        <v>174623</v>
      </c>
      <c r="K23" s="288">
        <f t="shared" ref="K23:K26" si="9">SUM(C23,G23)</f>
        <v>182627</v>
      </c>
      <c r="L23" s="252">
        <f t="shared" si="7"/>
        <v>4.5999999999999996</v>
      </c>
      <c r="M23" s="23">
        <f>IFERROR(100/'Skjema total MA'!I23*K23,0)</f>
        <v>22.73326648009893</v>
      </c>
    </row>
    <row r="24" spans="1:14" ht="15.75" x14ac:dyDescent="0.2">
      <c r="A24" s="551" t="s">
        <v>375</v>
      </c>
      <c r="B24" s="279"/>
      <c r="C24" s="279"/>
      <c r="D24" s="166"/>
      <c r="E24" s="11"/>
      <c r="F24" s="288"/>
      <c r="G24" s="288"/>
      <c r="H24" s="166"/>
      <c r="I24" s="363"/>
      <c r="J24" s="288"/>
      <c r="K24" s="288"/>
      <c r="L24" s="166"/>
      <c r="M24" s="23"/>
    </row>
    <row r="25" spans="1:14" ht="15.75" x14ac:dyDescent="0.2">
      <c r="A25" s="551" t="s">
        <v>376</v>
      </c>
      <c r="B25" s="279">
        <v>550</v>
      </c>
      <c r="C25" s="279">
        <v>550</v>
      </c>
      <c r="D25" s="166">
        <f t="shared" si="4"/>
        <v>0</v>
      </c>
      <c r="E25" s="11">
        <f>IFERROR(100/'Skjema total MA'!C25*C25,0)</f>
        <v>2.9075596392025105</v>
      </c>
      <c r="F25" s="288">
        <v>2410.4</v>
      </c>
      <c r="G25" s="288">
        <v>2982</v>
      </c>
      <c r="H25" s="166">
        <f t="shared" ref="H25:H26" si="10">IF(F25=0, "    ---- ", IF(ABS(ROUND(100/F25*G25-100,1))&lt;999,ROUND(100/F25*G25-100,1),IF(ROUND(100/F25*G25-100,1)&gt;999,999,-999)))</f>
        <v>23.7</v>
      </c>
      <c r="I25" s="363">
        <f>IFERROR(100/'Skjema total MA'!F25*G25,0)</f>
        <v>14.784258139977036</v>
      </c>
      <c r="J25" s="288">
        <f t="shared" si="8"/>
        <v>2960.4</v>
      </c>
      <c r="K25" s="288">
        <f t="shared" si="9"/>
        <v>3532</v>
      </c>
      <c r="L25" s="166">
        <f t="shared" ref="L25:L26" si="11">IF(J25=0, "    ---- ", IF(ABS(ROUND(100/J25*K25-100,1))&lt;999,ROUND(100/J25*K25-100,1),IF(ROUND(100/J25*K25-100,1)&gt;999,999,-999)))</f>
        <v>19.3</v>
      </c>
      <c r="M25" s="23">
        <f>IFERROR(100/'Skjema total MA'!I25*K25,0)</f>
        <v>9.0364121295487791</v>
      </c>
    </row>
    <row r="26" spans="1:14" ht="15.75" x14ac:dyDescent="0.2">
      <c r="A26" s="551" t="s">
        <v>377</v>
      </c>
      <c r="B26" s="279"/>
      <c r="C26" s="279"/>
      <c r="D26" s="166"/>
      <c r="E26" s="11"/>
      <c r="F26" s="288">
        <v>4020.1</v>
      </c>
      <c r="G26" s="288">
        <v>3239</v>
      </c>
      <c r="H26" s="166">
        <f t="shared" si="10"/>
        <v>-19.399999999999999</v>
      </c>
      <c r="I26" s="363">
        <f>IFERROR(100/'Skjema total MA'!F26*G26,0)</f>
        <v>0.66103878980379926</v>
      </c>
      <c r="J26" s="288">
        <f t="shared" si="8"/>
        <v>4020.1</v>
      </c>
      <c r="K26" s="288">
        <f t="shared" si="9"/>
        <v>3239</v>
      </c>
      <c r="L26" s="166">
        <f t="shared" si="11"/>
        <v>-19.399999999999999</v>
      </c>
      <c r="M26" s="23">
        <f>IFERROR(100/'Skjema total MA'!I26*K26,0)</f>
        <v>0.66103878980379926</v>
      </c>
    </row>
    <row r="27" spans="1:14" x14ac:dyDescent="0.2">
      <c r="A27" s="551" t="s">
        <v>11</v>
      </c>
      <c r="B27" s="279"/>
      <c r="C27" s="279"/>
      <c r="D27" s="166"/>
      <c r="E27" s="11"/>
      <c r="F27" s="288"/>
      <c r="G27" s="288"/>
      <c r="H27" s="166"/>
      <c r="I27" s="363"/>
      <c r="J27" s="288"/>
      <c r="K27" s="288"/>
      <c r="L27" s="166"/>
      <c r="M27" s="23"/>
    </row>
    <row r="28" spans="1:14" ht="15.75" x14ac:dyDescent="0.2">
      <c r="A28" s="49" t="s">
        <v>282</v>
      </c>
      <c r="B28" s="44">
        <v>174623</v>
      </c>
      <c r="C28" s="285">
        <v>182627</v>
      </c>
      <c r="D28" s="166">
        <f t="shared" si="4"/>
        <v>4.5999999999999996</v>
      </c>
      <c r="E28" s="11">
        <f>IFERROR(100/'Skjema total MA'!C28*C28,0)</f>
        <v>17.45572063866345</v>
      </c>
      <c r="F28" s="232"/>
      <c r="G28" s="285"/>
      <c r="H28" s="166"/>
      <c r="I28" s="27"/>
      <c r="J28" s="44">
        <f t="shared" si="6"/>
        <v>174623</v>
      </c>
      <c r="K28" s="44">
        <f t="shared" si="6"/>
        <v>182627</v>
      </c>
      <c r="L28" s="252">
        <f t="shared" si="7"/>
        <v>4.5999999999999996</v>
      </c>
      <c r="M28" s="23">
        <f>IFERROR(100/'Skjema total MA'!I28*K28,0)</f>
        <v>17.45572063866345</v>
      </c>
    </row>
    <row r="29" spans="1:14" s="3" customFormat="1" ht="15.75" x14ac:dyDescent="0.2">
      <c r="A29" s="13" t="s">
        <v>371</v>
      </c>
      <c r="B29" s="234">
        <v>580834</v>
      </c>
      <c r="C29" s="234">
        <v>672477</v>
      </c>
      <c r="D29" s="171">
        <f t="shared" si="4"/>
        <v>15.8</v>
      </c>
      <c r="E29" s="11">
        <f>IFERROR(100/'Skjema total MA'!C29*C29,0)</f>
        <v>1.4170320511413803</v>
      </c>
      <c r="F29" s="306">
        <v>120157</v>
      </c>
      <c r="G29" s="306">
        <v>139240</v>
      </c>
      <c r="H29" s="171">
        <f t="shared" si="5"/>
        <v>15.9</v>
      </c>
      <c r="I29" s="11">
        <f>IFERROR(100/'Skjema total MA'!F29*G29,0)</f>
        <v>0.68148377093025214</v>
      </c>
      <c r="J29" s="234">
        <f t="shared" si="6"/>
        <v>700991</v>
      </c>
      <c r="K29" s="234">
        <f t="shared" si="6"/>
        <v>811717</v>
      </c>
      <c r="L29" s="371">
        <f t="shared" si="7"/>
        <v>15.8</v>
      </c>
      <c r="M29" s="24">
        <f>IFERROR(100/'Skjema total MA'!I29*K29,0)</f>
        <v>1.195660021110851</v>
      </c>
      <c r="N29" s="148"/>
    </row>
    <row r="30" spans="1:14" s="3" customFormat="1" ht="15.75" x14ac:dyDescent="0.2">
      <c r="A30" s="551" t="s">
        <v>374</v>
      </c>
      <c r="B30" s="279">
        <v>578813</v>
      </c>
      <c r="C30" s="279">
        <v>670546</v>
      </c>
      <c r="D30" s="166">
        <f t="shared" si="4"/>
        <v>15.8</v>
      </c>
      <c r="E30" s="11">
        <f>IFERROR(100/'Skjema total MA'!C30*C30,0)</f>
        <v>6.4097479228605012</v>
      </c>
      <c r="F30" s="288"/>
      <c r="G30" s="288"/>
      <c r="H30" s="166"/>
      <c r="I30" s="363"/>
      <c r="J30" s="288">
        <f t="shared" ref="J30:J33" si="12">SUM(B30,F30)</f>
        <v>578813</v>
      </c>
      <c r="K30" s="288">
        <f t="shared" ref="K30:K33" si="13">SUM(C30,G30)</f>
        <v>670546</v>
      </c>
      <c r="L30" s="252">
        <f t="shared" si="7"/>
        <v>15.8</v>
      </c>
      <c r="M30" s="23">
        <f>IFERROR(100/'Skjema total MA'!I30*K30,0)</f>
        <v>4.5562427289485807</v>
      </c>
      <c r="N30" s="148"/>
    </row>
    <row r="31" spans="1:14" s="3" customFormat="1" ht="15.75" x14ac:dyDescent="0.2">
      <c r="A31" s="551" t="s">
        <v>375</v>
      </c>
      <c r="B31" s="279"/>
      <c r="C31" s="279"/>
      <c r="D31" s="166"/>
      <c r="E31" s="11"/>
      <c r="F31" s="288"/>
      <c r="G31" s="288"/>
      <c r="H31" s="166"/>
      <c r="I31" s="363"/>
      <c r="J31" s="288"/>
      <c r="K31" s="288"/>
      <c r="L31" s="166"/>
      <c r="M31" s="23"/>
      <c r="N31" s="148"/>
    </row>
    <row r="32" spans="1:14" ht="15.75" x14ac:dyDescent="0.2">
      <c r="A32" s="551" t="s">
        <v>376</v>
      </c>
      <c r="B32" s="279">
        <v>2021</v>
      </c>
      <c r="C32" s="279">
        <v>1931</v>
      </c>
      <c r="D32" s="166">
        <f t="shared" si="4"/>
        <v>-4.5</v>
      </c>
      <c r="E32" s="11">
        <f>IFERROR(100/'Skjema total MA'!C32*C32,0)</f>
        <v>0.13311280037298054</v>
      </c>
      <c r="F32" s="288">
        <v>104210</v>
      </c>
      <c r="G32" s="288">
        <v>108951</v>
      </c>
      <c r="H32" s="166">
        <f t="shared" ref="H32:H33" si="14">IF(F32=0, "    ---- ", IF(ABS(ROUND(100/F32*G32-100,1))&lt;999,ROUND(100/F32*G32-100,1),IF(ROUND(100/F32*G32-100,1)&gt;999,999,-999)))</f>
        <v>4.5</v>
      </c>
      <c r="I32" s="363">
        <f>IFERROR(100/'Skjema total MA'!F32*G32,0)</f>
        <v>2.5146097518396728</v>
      </c>
      <c r="J32" s="288">
        <f t="shared" si="12"/>
        <v>106231</v>
      </c>
      <c r="K32" s="288">
        <f t="shared" si="13"/>
        <v>110882</v>
      </c>
      <c r="L32" s="166">
        <f t="shared" ref="L32:L33" si="15">IF(J32=0, "    ---- ", IF(ABS(ROUND(100/J32*K32-100,1))&lt;999,ROUND(100/J32*K32-100,1),IF(ROUND(100/J32*K32-100,1)&gt;999,999,-999)))</f>
        <v>4.4000000000000004</v>
      </c>
      <c r="M32" s="23">
        <f>IFERROR(100/'Skjema total MA'!I32*K32,0)</f>
        <v>1.9172560601200013</v>
      </c>
    </row>
    <row r="33" spans="1:14" ht="15.75" x14ac:dyDescent="0.2">
      <c r="A33" s="551" t="s">
        <v>377</v>
      </c>
      <c r="B33" s="279"/>
      <c r="C33" s="279"/>
      <c r="D33" s="166"/>
      <c r="E33" s="11"/>
      <c r="F33" s="288">
        <v>15947</v>
      </c>
      <c r="G33" s="288">
        <v>30289</v>
      </c>
      <c r="H33" s="166">
        <f t="shared" si="14"/>
        <v>89.9</v>
      </c>
      <c r="I33" s="363">
        <f>IFERROR(100/'Skjema total MA'!F33*G33,0)</f>
        <v>1.2106609492758373</v>
      </c>
      <c r="J33" s="288">
        <f t="shared" si="12"/>
        <v>15947</v>
      </c>
      <c r="K33" s="288">
        <f t="shared" si="13"/>
        <v>30289</v>
      </c>
      <c r="L33" s="166">
        <f t="shared" si="15"/>
        <v>89.9</v>
      </c>
      <c r="M33" s="23">
        <f>IFERROR(100/'Skjema total MA'!I34*K33,0)</f>
        <v>58.422594459225714</v>
      </c>
    </row>
    <row r="34" spans="1:14" ht="15.75" x14ac:dyDescent="0.2">
      <c r="A34" s="13" t="s">
        <v>372</v>
      </c>
      <c r="B34" s="234"/>
      <c r="C34" s="307"/>
      <c r="D34" s="171"/>
      <c r="E34" s="11"/>
      <c r="F34" s="306"/>
      <c r="G34" s="307"/>
      <c r="H34" s="171"/>
      <c r="I34" s="11"/>
      <c r="J34" s="234"/>
      <c r="K34" s="234"/>
      <c r="L34" s="371"/>
      <c r="M34" s="24"/>
    </row>
    <row r="35" spans="1:14" ht="15.75" x14ac:dyDescent="0.2">
      <c r="A35" s="13" t="s">
        <v>373</v>
      </c>
      <c r="B35" s="234"/>
      <c r="C35" s="307"/>
      <c r="D35" s="171"/>
      <c r="E35" s="11"/>
      <c r="F35" s="306"/>
      <c r="G35" s="307"/>
      <c r="H35" s="171"/>
      <c r="I35" s="11"/>
      <c r="J35" s="234"/>
      <c r="K35" s="234"/>
      <c r="L35" s="371"/>
      <c r="M35" s="24"/>
    </row>
    <row r="36" spans="1:14" ht="15.75" x14ac:dyDescent="0.2">
      <c r="A36" s="12" t="s">
        <v>290</v>
      </c>
      <c r="B36" s="234"/>
      <c r="C36" s="307"/>
      <c r="D36" s="171"/>
      <c r="E36" s="11"/>
      <c r="F36" s="317"/>
      <c r="G36" s="318"/>
      <c r="H36" s="171"/>
      <c r="I36" s="377"/>
      <c r="J36" s="234"/>
      <c r="K36" s="234"/>
      <c r="L36" s="371"/>
      <c r="M36" s="24"/>
    </row>
    <row r="37" spans="1:14" ht="15.75" x14ac:dyDescent="0.2">
      <c r="A37" s="12" t="s">
        <v>379</v>
      </c>
      <c r="B37" s="234"/>
      <c r="C37" s="307"/>
      <c r="D37" s="171"/>
      <c r="E37" s="11"/>
      <c r="F37" s="317"/>
      <c r="G37" s="319"/>
      <c r="H37" s="171"/>
      <c r="I37" s="377"/>
      <c r="J37" s="234"/>
      <c r="K37" s="234"/>
      <c r="L37" s="371"/>
      <c r="M37" s="24"/>
    </row>
    <row r="38" spans="1:14" ht="15.75" x14ac:dyDescent="0.2">
      <c r="A38" s="12" t="s">
        <v>380</v>
      </c>
      <c r="B38" s="234"/>
      <c r="C38" s="307"/>
      <c r="D38" s="171"/>
      <c r="E38" s="24"/>
      <c r="F38" s="317"/>
      <c r="G38" s="318"/>
      <c r="H38" s="171"/>
      <c r="I38" s="377"/>
      <c r="J38" s="234"/>
      <c r="K38" s="234"/>
      <c r="L38" s="371"/>
      <c r="M38" s="24"/>
    </row>
    <row r="39" spans="1:14" ht="15.75" x14ac:dyDescent="0.2">
      <c r="A39" s="18" t="s">
        <v>381</v>
      </c>
      <c r="B39" s="274"/>
      <c r="C39" s="313"/>
      <c r="D39" s="169"/>
      <c r="E39" s="36"/>
      <c r="F39" s="320"/>
      <c r="G39" s="321"/>
      <c r="H39" s="169"/>
      <c r="I39" s="36"/>
      <c r="J39" s="234"/>
      <c r="K39" s="234"/>
      <c r="L39" s="372"/>
      <c r="M39" s="36"/>
    </row>
    <row r="40" spans="1:14" ht="15.75" x14ac:dyDescent="0.25">
      <c r="A40" s="47"/>
      <c r="B40" s="251"/>
      <c r="C40" s="251"/>
      <c r="D40" s="699"/>
      <c r="E40" s="699"/>
      <c r="F40" s="699"/>
      <c r="G40" s="699"/>
      <c r="H40" s="699"/>
      <c r="I40" s="699"/>
      <c r="J40" s="699"/>
      <c r="K40" s="699"/>
      <c r="L40" s="699"/>
      <c r="M40" s="300"/>
    </row>
    <row r="41" spans="1:14" x14ac:dyDescent="0.2">
      <c r="A41" s="155"/>
    </row>
    <row r="42" spans="1:14" ht="15.75" x14ac:dyDescent="0.25">
      <c r="A42" s="147" t="s">
        <v>279</v>
      </c>
      <c r="B42" s="700"/>
      <c r="C42" s="700"/>
      <c r="D42" s="700"/>
      <c r="E42" s="297"/>
      <c r="F42" s="701"/>
      <c r="G42" s="701"/>
      <c r="H42" s="701"/>
      <c r="I42" s="300"/>
      <c r="J42" s="701"/>
      <c r="K42" s="701"/>
      <c r="L42" s="701"/>
      <c r="M42" s="300"/>
    </row>
    <row r="43" spans="1:14" ht="15.75" x14ac:dyDescent="0.25">
      <c r="A43" s="163"/>
      <c r="B43" s="301"/>
      <c r="C43" s="301"/>
      <c r="D43" s="301"/>
      <c r="E43" s="301"/>
      <c r="F43" s="300"/>
      <c r="G43" s="300"/>
      <c r="H43" s="300"/>
      <c r="I43" s="300"/>
      <c r="J43" s="300"/>
      <c r="K43" s="300"/>
      <c r="L43" s="300"/>
      <c r="M43" s="300"/>
    </row>
    <row r="44" spans="1:14" ht="15.75" x14ac:dyDescent="0.25">
      <c r="A44" s="245"/>
      <c r="B44" s="696" t="s">
        <v>0</v>
      </c>
      <c r="C44" s="697"/>
      <c r="D44" s="697"/>
      <c r="E44" s="241"/>
      <c r="F44" s="300"/>
      <c r="G44" s="300"/>
      <c r="H44" s="300"/>
      <c r="I44" s="300"/>
      <c r="J44" s="300"/>
      <c r="K44" s="300"/>
      <c r="L44" s="300"/>
      <c r="M44" s="300"/>
    </row>
    <row r="45" spans="1:14" s="3" customFormat="1" x14ac:dyDescent="0.2">
      <c r="A45" s="140"/>
      <c r="B45" s="152" t="s">
        <v>422</v>
      </c>
      <c r="C45" s="152" t="s">
        <v>423</v>
      </c>
      <c r="D45" s="162" t="s">
        <v>3</v>
      </c>
      <c r="E45" s="162" t="s">
        <v>29</v>
      </c>
      <c r="F45" s="174"/>
      <c r="G45" s="174"/>
      <c r="H45" s="173"/>
      <c r="I45" s="173"/>
      <c r="J45" s="174"/>
      <c r="K45" s="174"/>
      <c r="L45" s="173"/>
      <c r="M45" s="173"/>
      <c r="N45" s="148"/>
    </row>
    <row r="46" spans="1:14" s="3" customFormat="1" x14ac:dyDescent="0.2">
      <c r="A46" s="666"/>
      <c r="B46" s="242"/>
      <c r="C46" s="242"/>
      <c r="D46" s="243" t="s">
        <v>4</v>
      </c>
      <c r="E46" s="156" t="s">
        <v>30</v>
      </c>
      <c r="F46" s="173"/>
      <c r="G46" s="173"/>
      <c r="H46" s="173"/>
      <c r="I46" s="173"/>
      <c r="J46" s="173"/>
      <c r="K46" s="173"/>
      <c r="L46" s="173"/>
      <c r="M46" s="173"/>
      <c r="N46" s="148"/>
    </row>
    <row r="47" spans="1:14" s="3" customFormat="1" ht="15.75" x14ac:dyDescent="0.2">
      <c r="A47" s="14" t="s">
        <v>23</v>
      </c>
      <c r="B47" s="308">
        <v>32000</v>
      </c>
      <c r="C47" s="309">
        <v>33252</v>
      </c>
      <c r="D47" s="370">
        <f t="shared" ref="D47:D48" si="16">IF(B47=0, "    ---- ", IF(ABS(ROUND(100/B47*C47-100,1))&lt;999,ROUND(100/B47*C47-100,1),IF(ROUND(100/B47*C47-100,1)&gt;999,999,-999)))</f>
        <v>3.9</v>
      </c>
      <c r="E47" s="11">
        <f>IFERROR(100/'Skjema total MA'!C47*C47,0)</f>
        <v>1.0299503865179922</v>
      </c>
      <c r="F47" s="145"/>
      <c r="G47" s="33"/>
      <c r="H47" s="159"/>
      <c r="I47" s="159"/>
      <c r="J47" s="37"/>
      <c r="K47" s="37"/>
      <c r="L47" s="159"/>
      <c r="M47" s="159"/>
      <c r="N47" s="148"/>
    </row>
    <row r="48" spans="1:14" s="3" customFormat="1" ht="15.75" x14ac:dyDescent="0.2">
      <c r="A48" s="38" t="s">
        <v>382</v>
      </c>
      <c r="B48" s="279">
        <v>32000</v>
      </c>
      <c r="C48" s="280">
        <v>33252</v>
      </c>
      <c r="D48" s="252">
        <f t="shared" si="16"/>
        <v>3.9</v>
      </c>
      <c r="E48" s="27">
        <f>IFERROR(100/'Skjema total MA'!C48*C48,0)</f>
        <v>1.8300308551158631</v>
      </c>
      <c r="F48" s="145"/>
      <c r="G48" s="33"/>
      <c r="H48" s="145"/>
      <c r="I48" s="145"/>
      <c r="J48" s="33"/>
      <c r="K48" s="33"/>
      <c r="L48" s="159"/>
      <c r="M48" s="159"/>
      <c r="N48" s="148"/>
    </row>
    <row r="49" spans="1:14" s="3" customFormat="1" ht="15.75" x14ac:dyDescent="0.2">
      <c r="A49" s="38" t="s">
        <v>383</v>
      </c>
      <c r="B49" s="44"/>
      <c r="C49" s="285"/>
      <c r="D49" s="252"/>
      <c r="E49" s="27"/>
      <c r="F49" s="145"/>
      <c r="G49" s="33"/>
      <c r="H49" s="145"/>
      <c r="I49" s="145"/>
      <c r="J49" s="37"/>
      <c r="K49" s="37"/>
      <c r="L49" s="159"/>
      <c r="M49" s="159"/>
      <c r="N49" s="148"/>
    </row>
    <row r="50" spans="1:14" s="3" customFormat="1" x14ac:dyDescent="0.2">
      <c r="A50" s="294" t="s">
        <v>6</v>
      </c>
      <c r="B50" s="288"/>
      <c r="C50" s="289"/>
      <c r="D50" s="252"/>
      <c r="E50" s="23"/>
      <c r="F50" s="145"/>
      <c r="G50" s="33"/>
      <c r="H50" s="145"/>
      <c r="I50" s="145"/>
      <c r="J50" s="33"/>
      <c r="K50" s="33"/>
      <c r="L50" s="159"/>
      <c r="M50" s="159"/>
      <c r="N50" s="148"/>
    </row>
    <row r="51" spans="1:14" s="3" customFormat="1" x14ac:dyDescent="0.2">
      <c r="A51" s="294" t="s">
        <v>7</v>
      </c>
      <c r="B51" s="288"/>
      <c r="C51" s="289"/>
      <c r="D51" s="252"/>
      <c r="E51" s="23"/>
      <c r="F51" s="145"/>
      <c r="G51" s="33"/>
      <c r="H51" s="145"/>
      <c r="I51" s="145"/>
      <c r="J51" s="33"/>
      <c r="K51" s="33"/>
      <c r="L51" s="159"/>
      <c r="M51" s="159"/>
      <c r="N51" s="148"/>
    </row>
    <row r="52" spans="1:14" s="3" customFormat="1" x14ac:dyDescent="0.2">
      <c r="A52" s="294" t="s">
        <v>8</v>
      </c>
      <c r="B52" s="288"/>
      <c r="C52" s="289"/>
      <c r="D52" s="252"/>
      <c r="E52" s="23"/>
      <c r="F52" s="145"/>
      <c r="G52" s="33"/>
      <c r="H52" s="145"/>
      <c r="I52" s="145"/>
      <c r="J52" s="33"/>
      <c r="K52" s="33"/>
      <c r="L52" s="159"/>
      <c r="M52" s="159"/>
      <c r="N52" s="148"/>
    </row>
    <row r="53" spans="1:14" s="3" customFormat="1" ht="15.75" x14ac:dyDescent="0.2">
      <c r="A53" s="39" t="s">
        <v>384</v>
      </c>
      <c r="B53" s="308"/>
      <c r="C53" s="309"/>
      <c r="D53" s="371"/>
      <c r="E53" s="11"/>
      <c r="F53" s="145"/>
      <c r="G53" s="33"/>
      <c r="H53" s="145"/>
      <c r="I53" s="145"/>
      <c r="J53" s="33"/>
      <c r="K53" s="33"/>
      <c r="L53" s="159"/>
      <c r="M53" s="159"/>
      <c r="N53" s="148"/>
    </row>
    <row r="54" spans="1:14" s="3" customFormat="1" ht="15.75" x14ac:dyDescent="0.2">
      <c r="A54" s="38" t="s">
        <v>382</v>
      </c>
      <c r="B54" s="279"/>
      <c r="C54" s="280"/>
      <c r="D54" s="252"/>
      <c r="E54" s="27"/>
      <c r="F54" s="145"/>
      <c r="G54" s="33"/>
      <c r="H54" s="145"/>
      <c r="I54" s="145"/>
      <c r="J54" s="33"/>
      <c r="K54" s="33"/>
      <c r="L54" s="159"/>
      <c r="M54" s="159"/>
      <c r="N54" s="148"/>
    </row>
    <row r="55" spans="1:14" s="3" customFormat="1" ht="15.75" x14ac:dyDescent="0.2">
      <c r="A55" s="38" t="s">
        <v>383</v>
      </c>
      <c r="B55" s="279"/>
      <c r="C55" s="280"/>
      <c r="D55" s="252"/>
      <c r="E55" s="27"/>
      <c r="F55" s="145"/>
      <c r="G55" s="33"/>
      <c r="H55" s="145"/>
      <c r="I55" s="145"/>
      <c r="J55" s="33"/>
      <c r="K55" s="33"/>
      <c r="L55" s="159"/>
      <c r="M55" s="159"/>
      <c r="N55" s="148"/>
    </row>
    <row r="56" spans="1:14" s="3" customFormat="1" ht="15.75" x14ac:dyDescent="0.2">
      <c r="A56" s="39" t="s">
        <v>385</v>
      </c>
      <c r="B56" s="308"/>
      <c r="C56" s="309"/>
      <c r="D56" s="371"/>
      <c r="E56" s="11"/>
      <c r="F56" s="145"/>
      <c r="G56" s="33"/>
      <c r="H56" s="145"/>
      <c r="I56" s="145"/>
      <c r="J56" s="33"/>
      <c r="K56" s="33"/>
      <c r="L56" s="159"/>
      <c r="M56" s="159"/>
      <c r="N56" s="148"/>
    </row>
    <row r="57" spans="1:14" s="3" customFormat="1" ht="15.75" x14ac:dyDescent="0.2">
      <c r="A57" s="38" t="s">
        <v>382</v>
      </c>
      <c r="B57" s="279"/>
      <c r="C57" s="280"/>
      <c r="D57" s="252"/>
      <c r="E57" s="27"/>
      <c r="F57" s="145"/>
      <c r="G57" s="33"/>
      <c r="H57" s="145"/>
      <c r="I57" s="145"/>
      <c r="J57" s="33"/>
      <c r="K57" s="33"/>
      <c r="L57" s="159"/>
      <c r="M57" s="159"/>
      <c r="N57" s="148"/>
    </row>
    <row r="58" spans="1:14" s="3" customFormat="1" ht="15.75" x14ac:dyDescent="0.2">
      <c r="A58" s="46" t="s">
        <v>383</v>
      </c>
      <c r="B58" s="281"/>
      <c r="C58" s="282"/>
      <c r="D58" s="253"/>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95"/>
      <c r="C62" s="695"/>
      <c r="D62" s="695"/>
      <c r="E62" s="297"/>
      <c r="F62" s="695"/>
      <c r="G62" s="695"/>
      <c r="H62" s="695"/>
      <c r="I62" s="297"/>
      <c r="J62" s="695"/>
      <c r="K62" s="695"/>
      <c r="L62" s="695"/>
      <c r="M62" s="297"/>
    </row>
    <row r="63" spans="1:14" x14ac:dyDescent="0.2">
      <c r="A63" s="144"/>
      <c r="B63" s="696" t="s">
        <v>0</v>
      </c>
      <c r="C63" s="697"/>
      <c r="D63" s="698"/>
      <c r="E63" s="298"/>
      <c r="F63" s="697" t="s">
        <v>1</v>
      </c>
      <c r="G63" s="697"/>
      <c r="H63" s="697"/>
      <c r="I63" s="302"/>
      <c r="J63" s="696" t="s">
        <v>2</v>
      </c>
      <c r="K63" s="697"/>
      <c r="L63" s="697"/>
      <c r="M63" s="302"/>
    </row>
    <row r="64" spans="1:14" x14ac:dyDescent="0.2">
      <c r="A64" s="140"/>
      <c r="B64" s="152" t="s">
        <v>422</v>
      </c>
      <c r="C64" s="152" t="s">
        <v>423</v>
      </c>
      <c r="D64" s="243" t="s">
        <v>3</v>
      </c>
      <c r="E64" s="303" t="s">
        <v>29</v>
      </c>
      <c r="F64" s="152" t="s">
        <v>422</v>
      </c>
      <c r="G64" s="152" t="s">
        <v>423</v>
      </c>
      <c r="H64" s="243" t="s">
        <v>3</v>
      </c>
      <c r="I64" s="303" t="s">
        <v>29</v>
      </c>
      <c r="J64" s="152" t="s">
        <v>422</v>
      </c>
      <c r="K64" s="152" t="s">
        <v>423</v>
      </c>
      <c r="L64" s="243" t="s">
        <v>3</v>
      </c>
      <c r="M64" s="162" t="s">
        <v>29</v>
      </c>
    </row>
    <row r="65" spans="1:14" x14ac:dyDescent="0.2">
      <c r="A65" s="666"/>
      <c r="B65" s="156"/>
      <c r="C65" s="156"/>
      <c r="D65" s="244" t="s">
        <v>4</v>
      </c>
      <c r="E65" s="156" t="s">
        <v>30</v>
      </c>
      <c r="F65" s="161"/>
      <c r="G65" s="161"/>
      <c r="H65" s="243" t="s">
        <v>4</v>
      </c>
      <c r="I65" s="156" t="s">
        <v>30</v>
      </c>
      <c r="J65" s="161"/>
      <c r="K65" s="205"/>
      <c r="L65" s="156" t="s">
        <v>4</v>
      </c>
      <c r="M65" s="156" t="s">
        <v>30</v>
      </c>
    </row>
    <row r="66" spans="1:14" ht="15.75" x14ac:dyDescent="0.2">
      <c r="A66" s="14" t="s">
        <v>23</v>
      </c>
      <c r="B66" s="350">
        <v>73895</v>
      </c>
      <c r="C66" s="350">
        <v>80050</v>
      </c>
      <c r="D66" s="347">
        <f t="shared" ref="D66:D111" si="17">IF(B66=0, "    ---- ", IF(ABS(ROUND(100/B66*C66-100,1))&lt;999,ROUND(100/B66*C66-100,1),IF(ROUND(100/B66*C66-100,1)&gt;999,999,-999)))</f>
        <v>8.3000000000000007</v>
      </c>
      <c r="E66" s="11">
        <f>IFERROR(100/'Skjema total MA'!C66*C66,0)</f>
        <v>1.4903019305707643</v>
      </c>
      <c r="F66" s="349">
        <v>171862</v>
      </c>
      <c r="G66" s="349">
        <v>189822</v>
      </c>
      <c r="H66" s="347">
        <f t="shared" ref="H66:H111" si="18">IF(F66=0, "    ---- ", IF(ABS(ROUND(100/F66*G66-100,1))&lt;999,ROUND(100/F66*G66-100,1),IF(ROUND(100/F66*G66-100,1)&gt;999,999,-999)))</f>
        <v>10.5</v>
      </c>
      <c r="I66" s="11">
        <f>IFERROR(100/'Skjema total MA'!F66*G66,0)</f>
        <v>1.207234647621489</v>
      </c>
      <c r="J66" s="307">
        <f t="shared" ref="J66:K79" si="19">SUM(B66,F66)</f>
        <v>245757</v>
      </c>
      <c r="K66" s="314">
        <f t="shared" si="19"/>
        <v>269872</v>
      </c>
      <c r="L66" s="371">
        <f t="shared" ref="L66:L111" si="20">IF(J66=0, "    ---- ", IF(ABS(ROUND(100/J66*K66-100,1))&lt;999,ROUND(100/J66*K66-100,1),IF(ROUND(100/J66*K66-100,1)&gt;999,999,-999)))</f>
        <v>9.8000000000000007</v>
      </c>
      <c r="M66" s="11">
        <f>IFERROR(100/'Skjema total MA'!I66*K66,0)</f>
        <v>1.2793113966228764</v>
      </c>
    </row>
    <row r="67" spans="1:14" x14ac:dyDescent="0.2">
      <c r="A67" s="365" t="s">
        <v>9</v>
      </c>
      <c r="B67" s="44"/>
      <c r="C67" s="145"/>
      <c r="D67" s="166"/>
      <c r="E67" s="27"/>
      <c r="F67" s="232"/>
      <c r="G67" s="145"/>
      <c r="H67" s="166"/>
      <c r="I67" s="27"/>
      <c r="J67" s="285"/>
      <c r="K67" s="44"/>
      <c r="L67" s="252"/>
      <c r="M67" s="27"/>
    </row>
    <row r="68" spans="1:14" x14ac:dyDescent="0.2">
      <c r="A68" s="21" t="s">
        <v>10</v>
      </c>
      <c r="B68" s="290">
        <v>73895</v>
      </c>
      <c r="C68" s="291">
        <v>80050</v>
      </c>
      <c r="D68" s="166">
        <f t="shared" si="17"/>
        <v>8.3000000000000007</v>
      </c>
      <c r="E68" s="27">
        <f>IFERROR(100/'Skjema total MA'!C68*C68,0)</f>
        <v>70.554404142886142</v>
      </c>
      <c r="F68" s="290">
        <v>171862</v>
      </c>
      <c r="G68" s="291">
        <v>189822</v>
      </c>
      <c r="H68" s="166">
        <f t="shared" si="18"/>
        <v>10.5</v>
      </c>
      <c r="I68" s="27">
        <f>IFERROR(100/'Skjema total MA'!F68*G68,0)</f>
        <v>1.2234594361774482</v>
      </c>
      <c r="J68" s="285">
        <f t="shared" si="19"/>
        <v>245757</v>
      </c>
      <c r="K68" s="44">
        <f t="shared" si="19"/>
        <v>269872</v>
      </c>
      <c r="L68" s="252">
        <f t="shared" si="20"/>
        <v>9.8000000000000007</v>
      </c>
      <c r="M68" s="27">
        <f>IFERROR(100/'Skjema total MA'!I68*K68,0)</f>
        <v>1.7267780922017835</v>
      </c>
    </row>
    <row r="69" spans="1:14" ht="15.75" x14ac:dyDescent="0.2">
      <c r="A69" s="294" t="s">
        <v>386</v>
      </c>
      <c r="B69" s="279"/>
      <c r="C69" s="279"/>
      <c r="D69" s="166"/>
      <c r="E69" s="363"/>
      <c r="F69" s="279"/>
      <c r="G69" s="279"/>
      <c r="H69" s="166"/>
      <c r="I69" s="363"/>
      <c r="J69" s="288"/>
      <c r="K69" s="288"/>
      <c r="L69" s="166"/>
      <c r="M69" s="23"/>
    </row>
    <row r="70" spans="1:14" x14ac:dyDescent="0.2">
      <c r="A70" s="294" t="s">
        <v>12</v>
      </c>
      <c r="B70" s="292"/>
      <c r="C70" s="293"/>
      <c r="D70" s="166"/>
      <c r="E70" s="363"/>
      <c r="F70" s="279"/>
      <c r="G70" s="279"/>
      <c r="H70" s="166"/>
      <c r="I70" s="363"/>
      <c r="J70" s="288"/>
      <c r="K70" s="288"/>
      <c r="L70" s="166"/>
      <c r="M70" s="23"/>
    </row>
    <row r="71" spans="1:14" x14ac:dyDescent="0.2">
      <c r="A71" s="294" t="s">
        <v>13</v>
      </c>
      <c r="B71" s="233"/>
      <c r="C71" s="287"/>
      <c r="D71" s="166"/>
      <c r="E71" s="363"/>
      <c r="F71" s="279"/>
      <c r="G71" s="279"/>
      <c r="H71" s="166"/>
      <c r="I71" s="363"/>
      <c r="J71" s="288"/>
      <c r="K71" s="288"/>
      <c r="L71" s="166"/>
      <c r="M71" s="23"/>
    </row>
    <row r="72" spans="1:14" ht="15.75" x14ac:dyDescent="0.2">
      <c r="A72" s="294" t="s">
        <v>387</v>
      </c>
      <c r="B72" s="279"/>
      <c r="C72" s="279"/>
      <c r="D72" s="166"/>
      <c r="E72" s="363"/>
      <c r="F72" s="279"/>
      <c r="G72" s="279"/>
      <c r="H72" s="166"/>
      <c r="I72" s="363"/>
      <c r="J72" s="288"/>
      <c r="K72" s="288"/>
      <c r="L72" s="166"/>
      <c r="M72" s="23"/>
    </row>
    <row r="73" spans="1:14" x14ac:dyDescent="0.2">
      <c r="A73" s="294" t="s">
        <v>12</v>
      </c>
      <c r="B73" s="233"/>
      <c r="C73" s="287"/>
      <c r="D73" s="166"/>
      <c r="E73" s="363"/>
      <c r="F73" s="279"/>
      <c r="G73" s="279"/>
      <c r="H73" s="166"/>
      <c r="I73" s="363"/>
      <c r="J73" s="288"/>
      <c r="K73" s="288"/>
      <c r="L73" s="166"/>
      <c r="M73" s="23"/>
    </row>
    <row r="74" spans="1:14" s="3" customFormat="1" x14ac:dyDescent="0.2">
      <c r="A74" s="294" t="s">
        <v>13</v>
      </c>
      <c r="B74" s="233"/>
      <c r="C74" s="287"/>
      <c r="D74" s="166"/>
      <c r="E74" s="363"/>
      <c r="F74" s="279"/>
      <c r="G74" s="279"/>
      <c r="H74" s="166"/>
      <c r="I74" s="363"/>
      <c r="J74" s="288"/>
      <c r="K74" s="288"/>
      <c r="L74" s="166"/>
      <c r="M74" s="23"/>
      <c r="N74" s="148"/>
    </row>
    <row r="75" spans="1:14" s="3" customFormat="1" x14ac:dyDescent="0.2">
      <c r="A75" s="21" t="s">
        <v>356</v>
      </c>
      <c r="B75" s="232"/>
      <c r="C75" s="145"/>
      <c r="D75" s="166"/>
      <c r="E75" s="27"/>
      <c r="F75" s="232"/>
      <c r="G75" s="145"/>
      <c r="H75" s="166"/>
      <c r="I75" s="27"/>
      <c r="J75" s="285"/>
      <c r="K75" s="44"/>
      <c r="L75" s="252"/>
      <c r="M75" s="27"/>
      <c r="N75" s="148"/>
    </row>
    <row r="76" spans="1:14" s="3" customFormat="1" x14ac:dyDescent="0.2">
      <c r="A76" s="21" t="s">
        <v>355</v>
      </c>
      <c r="B76" s="232"/>
      <c r="C76" s="145"/>
      <c r="D76" s="166"/>
      <c r="E76" s="27"/>
      <c r="F76" s="232"/>
      <c r="G76" s="145"/>
      <c r="H76" s="166"/>
      <c r="I76" s="27"/>
      <c r="J76" s="285"/>
      <c r="K76" s="44"/>
      <c r="L76" s="252"/>
      <c r="M76" s="27"/>
      <c r="N76" s="148"/>
    </row>
    <row r="77" spans="1:14" ht="15.75" x14ac:dyDescent="0.2">
      <c r="A77" s="21" t="s">
        <v>388</v>
      </c>
      <c r="B77" s="232">
        <v>73895</v>
      </c>
      <c r="C77" s="232">
        <v>80050</v>
      </c>
      <c r="D77" s="166">
        <f t="shared" si="17"/>
        <v>8.3000000000000007</v>
      </c>
      <c r="E77" s="27">
        <f>IFERROR(100/'Skjema total MA'!C77*C77,0)</f>
        <v>1.8952964301922579</v>
      </c>
      <c r="F77" s="232">
        <v>171862</v>
      </c>
      <c r="G77" s="145">
        <v>189822</v>
      </c>
      <c r="H77" s="166">
        <f t="shared" si="18"/>
        <v>10.5</v>
      </c>
      <c r="I77" s="27">
        <f>IFERROR(100/'Skjema total MA'!F77*G77,0)</f>
        <v>1.2239904965442139</v>
      </c>
      <c r="J77" s="285">
        <f t="shared" si="19"/>
        <v>245757</v>
      </c>
      <c r="K77" s="44">
        <f t="shared" si="19"/>
        <v>269872</v>
      </c>
      <c r="L77" s="252">
        <f t="shared" si="20"/>
        <v>9.8000000000000007</v>
      </c>
      <c r="M77" s="27">
        <f>IFERROR(100/'Skjema total MA'!I77*K77,0)</f>
        <v>1.3676823299023664</v>
      </c>
    </row>
    <row r="78" spans="1:14" x14ac:dyDescent="0.2">
      <c r="A78" s="21" t="s">
        <v>9</v>
      </c>
      <c r="B78" s="232"/>
      <c r="C78" s="145"/>
      <c r="D78" s="166"/>
      <c r="E78" s="27"/>
      <c r="F78" s="232"/>
      <c r="G78" s="145"/>
      <c r="H78" s="166"/>
      <c r="I78" s="27"/>
      <c r="J78" s="285"/>
      <c r="K78" s="44"/>
      <c r="L78" s="252"/>
      <c r="M78" s="27"/>
    </row>
    <row r="79" spans="1:14" x14ac:dyDescent="0.2">
      <c r="A79" s="21" t="s">
        <v>10</v>
      </c>
      <c r="B79" s="290">
        <v>73895</v>
      </c>
      <c r="C79" s="291">
        <v>80050</v>
      </c>
      <c r="D79" s="166">
        <f t="shared" si="17"/>
        <v>8.3000000000000007</v>
      </c>
      <c r="E79" s="27">
        <f>IFERROR(100/'Skjema total MA'!C79*C79,0)</f>
        <v>71.872932087295112</v>
      </c>
      <c r="F79" s="290">
        <v>171862</v>
      </c>
      <c r="G79" s="291">
        <v>189822</v>
      </c>
      <c r="H79" s="166">
        <f t="shared" si="18"/>
        <v>10.5</v>
      </c>
      <c r="I79" s="27">
        <f>IFERROR(100/'Skjema total MA'!F79*G79,0)</f>
        <v>1.2239904965442139</v>
      </c>
      <c r="J79" s="285">
        <f t="shared" si="19"/>
        <v>245757</v>
      </c>
      <c r="K79" s="44">
        <f t="shared" si="19"/>
        <v>269872</v>
      </c>
      <c r="L79" s="252">
        <f t="shared" si="20"/>
        <v>9.8000000000000007</v>
      </c>
      <c r="M79" s="27">
        <f>IFERROR(100/'Skjema total MA'!I79*K79,0)</f>
        <v>1.7277523833377733</v>
      </c>
    </row>
    <row r="80" spans="1:14" ht="15.75" x14ac:dyDescent="0.2">
      <c r="A80" s="294" t="s">
        <v>386</v>
      </c>
      <c r="B80" s="279"/>
      <c r="C80" s="279"/>
      <c r="D80" s="166"/>
      <c r="E80" s="363"/>
      <c r="F80" s="279"/>
      <c r="G80" s="279"/>
      <c r="H80" s="166"/>
      <c r="I80" s="363"/>
      <c r="J80" s="288"/>
      <c r="K80" s="288"/>
      <c r="L80" s="166"/>
      <c r="M80" s="23"/>
    </row>
    <row r="81" spans="1:13" x14ac:dyDescent="0.2">
      <c r="A81" s="294" t="s">
        <v>12</v>
      </c>
      <c r="B81" s="233"/>
      <c r="C81" s="287"/>
      <c r="D81" s="166"/>
      <c r="E81" s="363"/>
      <c r="F81" s="279"/>
      <c r="G81" s="279"/>
      <c r="H81" s="166"/>
      <c r="I81" s="363"/>
      <c r="J81" s="288"/>
      <c r="K81" s="288"/>
      <c r="L81" s="166"/>
      <c r="M81" s="23"/>
    </row>
    <row r="82" spans="1:13" x14ac:dyDescent="0.2">
      <c r="A82" s="294" t="s">
        <v>13</v>
      </c>
      <c r="B82" s="233"/>
      <c r="C82" s="287"/>
      <c r="D82" s="166"/>
      <c r="E82" s="363"/>
      <c r="F82" s="279"/>
      <c r="G82" s="279"/>
      <c r="H82" s="166"/>
      <c r="I82" s="363"/>
      <c r="J82" s="288"/>
      <c r="K82" s="288"/>
      <c r="L82" s="166"/>
      <c r="M82" s="23"/>
    </row>
    <row r="83" spans="1:13" ht="15.75" x14ac:dyDescent="0.2">
      <c r="A83" s="294" t="s">
        <v>387</v>
      </c>
      <c r="B83" s="279"/>
      <c r="C83" s="279"/>
      <c r="D83" s="166"/>
      <c r="E83" s="363"/>
      <c r="F83" s="279"/>
      <c r="G83" s="279"/>
      <c r="H83" s="166"/>
      <c r="I83" s="363"/>
      <c r="J83" s="288"/>
      <c r="K83" s="288"/>
      <c r="L83" s="166"/>
      <c r="M83" s="23"/>
    </row>
    <row r="84" spans="1:13" x14ac:dyDescent="0.2">
      <c r="A84" s="294" t="s">
        <v>12</v>
      </c>
      <c r="B84" s="233"/>
      <c r="C84" s="287"/>
      <c r="D84" s="166"/>
      <c r="E84" s="363"/>
      <c r="F84" s="279"/>
      <c r="G84" s="279"/>
      <c r="H84" s="166"/>
      <c r="I84" s="363"/>
      <c r="J84" s="288"/>
      <c r="K84" s="288"/>
      <c r="L84" s="166"/>
      <c r="M84" s="23"/>
    </row>
    <row r="85" spans="1:13" x14ac:dyDescent="0.2">
      <c r="A85" s="294" t="s">
        <v>13</v>
      </c>
      <c r="B85" s="233"/>
      <c r="C85" s="287"/>
      <c r="D85" s="166"/>
      <c r="E85" s="363"/>
      <c r="F85" s="279"/>
      <c r="G85" s="279"/>
      <c r="H85" s="166"/>
      <c r="I85" s="363"/>
      <c r="J85" s="288"/>
      <c r="K85" s="288"/>
      <c r="L85" s="166"/>
      <c r="M85" s="23"/>
    </row>
    <row r="86" spans="1:13" ht="15.75" x14ac:dyDescent="0.2">
      <c r="A86" s="21" t="s">
        <v>389</v>
      </c>
      <c r="B86" s="232"/>
      <c r="C86" s="145"/>
      <c r="D86" s="166"/>
      <c r="E86" s="27"/>
      <c r="F86" s="232"/>
      <c r="G86" s="145"/>
      <c r="H86" s="166"/>
      <c r="I86" s="27"/>
      <c r="J86" s="285"/>
      <c r="K86" s="44"/>
      <c r="L86" s="252"/>
      <c r="M86" s="27"/>
    </row>
    <row r="87" spans="1:13" ht="15.75" x14ac:dyDescent="0.2">
      <c r="A87" s="13" t="s">
        <v>371</v>
      </c>
      <c r="B87" s="350">
        <v>179279</v>
      </c>
      <c r="C87" s="350">
        <v>206975</v>
      </c>
      <c r="D87" s="171">
        <f t="shared" si="17"/>
        <v>15.4</v>
      </c>
      <c r="E87" s="11">
        <f>IFERROR(100/'Skjema total MA'!C87*C87,0)</f>
        <v>5.3086071777800087E-2</v>
      </c>
      <c r="F87" s="349">
        <v>3199864</v>
      </c>
      <c r="G87" s="349">
        <v>3687547</v>
      </c>
      <c r="H87" s="171">
        <f t="shared" si="18"/>
        <v>15.2</v>
      </c>
      <c r="I87" s="11">
        <f>IFERROR(100/'Skjema total MA'!F87*G87,0)</f>
        <v>1.2991898874078733</v>
      </c>
      <c r="J87" s="307">
        <f t="shared" ref="J87:K111" si="21">SUM(B87,F87)</f>
        <v>3379143</v>
      </c>
      <c r="K87" s="234">
        <f t="shared" si="21"/>
        <v>3894522</v>
      </c>
      <c r="L87" s="371">
        <f t="shared" si="20"/>
        <v>15.3</v>
      </c>
      <c r="M87" s="11">
        <f>IFERROR(100/'Skjema total MA'!I87*K87,0)</f>
        <v>0.57806237240800495</v>
      </c>
    </row>
    <row r="88" spans="1:13" x14ac:dyDescent="0.2">
      <c r="A88" s="21" t="s">
        <v>9</v>
      </c>
      <c r="B88" s="232"/>
      <c r="C88" s="145"/>
      <c r="D88" s="166"/>
      <c r="E88" s="27"/>
      <c r="F88" s="232"/>
      <c r="G88" s="145"/>
      <c r="H88" s="166"/>
      <c r="I88" s="27"/>
      <c r="J88" s="285"/>
      <c r="K88" s="44"/>
      <c r="L88" s="252"/>
      <c r="M88" s="27"/>
    </row>
    <row r="89" spans="1:13" x14ac:dyDescent="0.2">
      <c r="A89" s="21" t="s">
        <v>10</v>
      </c>
      <c r="B89" s="232">
        <v>179279</v>
      </c>
      <c r="C89" s="145">
        <v>206975</v>
      </c>
      <c r="D89" s="166">
        <f t="shared" si="17"/>
        <v>15.4</v>
      </c>
      <c r="E89" s="27">
        <f>IFERROR(100/'Skjema total MA'!C89*C89,0)</f>
        <v>7.0827803313195599</v>
      </c>
      <c r="F89" s="232">
        <v>3199864</v>
      </c>
      <c r="G89" s="145">
        <v>3687547</v>
      </c>
      <c r="H89" s="166">
        <f t="shared" si="18"/>
        <v>15.2</v>
      </c>
      <c r="I89" s="27">
        <f>IFERROR(100/'Skjema total MA'!F89*G89,0)</f>
        <v>1.3051714178509051</v>
      </c>
      <c r="J89" s="285">
        <f t="shared" si="21"/>
        <v>3379143</v>
      </c>
      <c r="K89" s="44">
        <f t="shared" si="21"/>
        <v>3894522</v>
      </c>
      <c r="L89" s="252">
        <f t="shared" si="20"/>
        <v>15.3</v>
      </c>
      <c r="M89" s="27">
        <f>IFERROR(100/'Skjema total MA'!I89*K89,0)</f>
        <v>1.364317153489667</v>
      </c>
    </row>
    <row r="90" spans="1:13" ht="15.75" x14ac:dyDescent="0.2">
      <c r="A90" s="294" t="s">
        <v>386</v>
      </c>
      <c r="B90" s="279"/>
      <c r="C90" s="279"/>
      <c r="D90" s="166"/>
      <c r="E90" s="363"/>
      <c r="F90" s="279"/>
      <c r="G90" s="279"/>
      <c r="H90" s="166"/>
      <c r="I90" s="363"/>
      <c r="J90" s="288"/>
      <c r="K90" s="288"/>
      <c r="L90" s="166"/>
      <c r="M90" s="23"/>
    </row>
    <row r="91" spans="1:13" x14ac:dyDescent="0.2">
      <c r="A91" s="294" t="s">
        <v>12</v>
      </c>
      <c r="B91" s="233"/>
      <c r="C91" s="287"/>
      <c r="D91" s="166"/>
      <c r="E91" s="363"/>
      <c r="F91" s="279"/>
      <c r="G91" s="279"/>
      <c r="H91" s="166"/>
      <c r="I91" s="363"/>
      <c r="J91" s="288"/>
      <c r="K91" s="288"/>
      <c r="L91" s="166"/>
      <c r="M91" s="23"/>
    </row>
    <row r="92" spans="1:13" x14ac:dyDescent="0.2">
      <c r="A92" s="294" t="s">
        <v>13</v>
      </c>
      <c r="B92" s="233"/>
      <c r="C92" s="287"/>
      <c r="D92" s="166"/>
      <c r="E92" s="363"/>
      <c r="F92" s="279"/>
      <c r="G92" s="279"/>
      <c r="H92" s="166"/>
      <c r="I92" s="363"/>
      <c r="J92" s="288"/>
      <c r="K92" s="288"/>
      <c r="L92" s="166"/>
      <c r="M92" s="23"/>
    </row>
    <row r="93" spans="1:13" ht="15.75" x14ac:dyDescent="0.2">
      <c r="A93" s="294" t="s">
        <v>387</v>
      </c>
      <c r="B93" s="279"/>
      <c r="C93" s="279"/>
      <c r="D93" s="166"/>
      <c r="E93" s="363"/>
      <c r="F93" s="279"/>
      <c r="G93" s="279"/>
      <c r="H93" s="166"/>
      <c r="I93" s="363"/>
      <c r="J93" s="288"/>
      <c r="K93" s="288"/>
      <c r="L93" s="166"/>
      <c r="M93" s="23"/>
    </row>
    <row r="94" spans="1:13" x14ac:dyDescent="0.2">
      <c r="A94" s="294" t="s">
        <v>12</v>
      </c>
      <c r="B94" s="233"/>
      <c r="C94" s="287"/>
      <c r="D94" s="166"/>
      <c r="E94" s="363"/>
      <c r="F94" s="279"/>
      <c r="G94" s="279"/>
      <c r="H94" s="166"/>
      <c r="I94" s="363"/>
      <c r="J94" s="288"/>
      <c r="K94" s="288"/>
      <c r="L94" s="166"/>
      <c r="M94" s="23"/>
    </row>
    <row r="95" spans="1:13" x14ac:dyDescent="0.2">
      <c r="A95" s="294" t="s">
        <v>13</v>
      </c>
      <c r="B95" s="233"/>
      <c r="C95" s="287"/>
      <c r="D95" s="166"/>
      <c r="E95" s="363"/>
      <c r="F95" s="279"/>
      <c r="G95" s="279"/>
      <c r="H95" s="166"/>
      <c r="I95" s="363"/>
      <c r="J95" s="288"/>
      <c r="K95" s="288"/>
      <c r="L95" s="166"/>
      <c r="M95" s="23"/>
    </row>
    <row r="96" spans="1:13" x14ac:dyDescent="0.2">
      <c r="A96" s="21" t="s">
        <v>354</v>
      </c>
      <c r="B96" s="232"/>
      <c r="C96" s="145"/>
      <c r="D96" s="166"/>
      <c r="E96" s="27"/>
      <c r="F96" s="232"/>
      <c r="G96" s="145"/>
      <c r="H96" s="166"/>
      <c r="I96" s="27"/>
      <c r="J96" s="285"/>
      <c r="K96" s="44"/>
      <c r="L96" s="252"/>
      <c r="M96" s="27"/>
    </row>
    <row r="97" spans="1:13" x14ac:dyDescent="0.2">
      <c r="A97" s="21" t="s">
        <v>353</v>
      </c>
      <c r="B97" s="232"/>
      <c r="C97" s="145"/>
      <c r="D97" s="166"/>
      <c r="E97" s="27"/>
      <c r="F97" s="232"/>
      <c r="G97" s="145"/>
      <c r="H97" s="166"/>
      <c r="I97" s="27"/>
      <c r="J97" s="285"/>
      <c r="K97" s="44"/>
      <c r="L97" s="252"/>
      <c r="M97" s="27"/>
    </row>
    <row r="98" spans="1:13" ht="15.75" x14ac:dyDescent="0.2">
      <c r="A98" s="21" t="s">
        <v>388</v>
      </c>
      <c r="B98" s="232">
        <v>179279</v>
      </c>
      <c r="C98" s="232">
        <v>206975</v>
      </c>
      <c r="D98" s="166">
        <f t="shared" si="17"/>
        <v>15.4</v>
      </c>
      <c r="E98" s="27">
        <f>IFERROR(100/'Skjema total MA'!C98*C98,0)</f>
        <v>5.4614348407838145E-2</v>
      </c>
      <c r="F98" s="290">
        <v>3199864</v>
      </c>
      <c r="G98" s="290">
        <v>3687547</v>
      </c>
      <c r="H98" s="166">
        <f t="shared" si="18"/>
        <v>15.2</v>
      </c>
      <c r="I98" s="27">
        <f>IFERROR(100/'Skjema total MA'!F98*G98,0)</f>
        <v>1.3087947892251874</v>
      </c>
      <c r="J98" s="285">
        <f t="shared" si="21"/>
        <v>3379143</v>
      </c>
      <c r="K98" s="44">
        <f t="shared" si="21"/>
        <v>3894522</v>
      </c>
      <c r="L98" s="252">
        <f t="shared" si="20"/>
        <v>15.3</v>
      </c>
      <c r="M98" s="27">
        <f>IFERROR(100/'Skjema total MA'!I98*K98,0)</f>
        <v>0.58942995789815178</v>
      </c>
    </row>
    <row r="99" spans="1:13" x14ac:dyDescent="0.2">
      <c r="A99" s="21" t="s">
        <v>9</v>
      </c>
      <c r="B99" s="290"/>
      <c r="C99" s="291"/>
      <c r="D99" s="166"/>
      <c r="E99" s="27"/>
      <c r="F99" s="232"/>
      <c r="G99" s="145"/>
      <c r="H99" s="166"/>
      <c r="I99" s="27"/>
      <c r="J99" s="285"/>
      <c r="K99" s="44"/>
      <c r="L99" s="252"/>
      <c r="M99" s="27"/>
    </row>
    <row r="100" spans="1:13" x14ac:dyDescent="0.2">
      <c r="A100" s="21" t="s">
        <v>10</v>
      </c>
      <c r="B100" s="290">
        <v>179279</v>
      </c>
      <c r="C100" s="291">
        <v>206975</v>
      </c>
      <c r="D100" s="166">
        <f t="shared" si="17"/>
        <v>15.4</v>
      </c>
      <c r="E100" s="27">
        <f>IFERROR(100/'Skjema total MA'!C100*C100,0)</f>
        <v>7.0827803313195599</v>
      </c>
      <c r="F100" s="232">
        <v>3199864</v>
      </c>
      <c r="G100" s="232">
        <v>3687547</v>
      </c>
      <c r="H100" s="166">
        <f t="shared" si="18"/>
        <v>15.2</v>
      </c>
      <c r="I100" s="27">
        <f>IFERROR(100/'Skjema total MA'!F100*G100,0)</f>
        <v>1.3087947892251874</v>
      </c>
      <c r="J100" s="285">
        <f t="shared" si="21"/>
        <v>3379143</v>
      </c>
      <c r="K100" s="44">
        <f t="shared" si="21"/>
        <v>3894522</v>
      </c>
      <c r="L100" s="252">
        <f t="shared" si="20"/>
        <v>15.3</v>
      </c>
      <c r="M100" s="27">
        <f>IFERROR(100/'Skjema total MA'!I100*K100,0)</f>
        <v>1.3680658430731172</v>
      </c>
    </row>
    <row r="101" spans="1:13" ht="15.75" x14ac:dyDescent="0.2">
      <c r="A101" s="294" t="s">
        <v>386</v>
      </c>
      <c r="B101" s="279"/>
      <c r="C101" s="279"/>
      <c r="D101" s="166"/>
      <c r="E101" s="363"/>
      <c r="F101" s="279"/>
      <c r="G101" s="279"/>
      <c r="H101" s="166"/>
      <c r="I101" s="363"/>
      <c r="J101" s="288"/>
      <c r="K101" s="288"/>
      <c r="L101" s="166"/>
      <c r="M101" s="23"/>
    </row>
    <row r="102" spans="1:13" x14ac:dyDescent="0.2">
      <c r="A102" s="294" t="s">
        <v>12</v>
      </c>
      <c r="B102" s="233"/>
      <c r="C102" s="287"/>
      <c r="D102" s="166"/>
      <c r="E102" s="363"/>
      <c r="F102" s="279"/>
      <c r="G102" s="279"/>
      <c r="H102" s="166"/>
      <c r="I102" s="363"/>
      <c r="J102" s="288"/>
      <c r="K102" s="288"/>
      <c r="L102" s="166"/>
      <c r="M102" s="23"/>
    </row>
    <row r="103" spans="1:13" x14ac:dyDescent="0.2">
      <c r="A103" s="294" t="s">
        <v>13</v>
      </c>
      <c r="B103" s="233"/>
      <c r="C103" s="287"/>
      <c r="D103" s="166"/>
      <c r="E103" s="363"/>
      <c r="F103" s="279"/>
      <c r="G103" s="279"/>
      <c r="H103" s="166"/>
      <c r="I103" s="363"/>
      <c r="J103" s="288"/>
      <c r="K103" s="288"/>
      <c r="L103" s="166"/>
      <c r="M103" s="23"/>
    </row>
    <row r="104" spans="1:13" ht="15.75" x14ac:dyDescent="0.2">
      <c r="A104" s="294" t="s">
        <v>387</v>
      </c>
      <c r="B104" s="279"/>
      <c r="C104" s="279"/>
      <c r="D104" s="166"/>
      <c r="E104" s="363"/>
      <c r="F104" s="279"/>
      <c r="G104" s="279"/>
      <c r="H104" s="166"/>
      <c r="I104" s="363"/>
      <c r="J104" s="288"/>
      <c r="K104" s="288"/>
      <c r="L104" s="166"/>
      <c r="M104" s="23"/>
    </row>
    <row r="105" spans="1:13" x14ac:dyDescent="0.2">
      <c r="A105" s="294" t="s">
        <v>12</v>
      </c>
      <c r="B105" s="233"/>
      <c r="C105" s="287"/>
      <c r="D105" s="166"/>
      <c r="E105" s="363"/>
      <c r="F105" s="279"/>
      <c r="G105" s="279"/>
      <c r="H105" s="166"/>
      <c r="I105" s="363"/>
      <c r="J105" s="288"/>
      <c r="K105" s="288"/>
      <c r="L105" s="166"/>
      <c r="M105" s="23"/>
    </row>
    <row r="106" spans="1:13" x14ac:dyDescent="0.2">
      <c r="A106" s="294" t="s">
        <v>13</v>
      </c>
      <c r="B106" s="233"/>
      <c r="C106" s="287"/>
      <c r="D106" s="166"/>
      <c r="E106" s="363"/>
      <c r="F106" s="279"/>
      <c r="G106" s="279"/>
      <c r="H106" s="166"/>
      <c r="I106" s="363"/>
      <c r="J106" s="288"/>
      <c r="K106" s="288"/>
      <c r="L106" s="166"/>
      <c r="M106" s="23"/>
    </row>
    <row r="107" spans="1:13" ht="15.75" x14ac:dyDescent="0.2">
      <c r="A107" s="21" t="s">
        <v>389</v>
      </c>
      <c r="B107" s="232"/>
      <c r="C107" s="145"/>
      <c r="D107" s="166"/>
      <c r="E107" s="27"/>
      <c r="F107" s="232"/>
      <c r="G107" s="145"/>
      <c r="H107" s="166"/>
      <c r="I107" s="27"/>
      <c r="J107" s="285"/>
      <c r="K107" s="44"/>
      <c r="L107" s="252"/>
      <c r="M107" s="27"/>
    </row>
    <row r="108" spans="1:13" ht="15.75" x14ac:dyDescent="0.2">
      <c r="A108" s="21" t="s">
        <v>390</v>
      </c>
      <c r="B108" s="232"/>
      <c r="C108" s="232"/>
      <c r="D108" s="166"/>
      <c r="E108" s="27"/>
      <c r="F108" s="232"/>
      <c r="G108" s="232"/>
      <c r="H108" s="166"/>
      <c r="I108" s="27"/>
      <c r="J108" s="285"/>
      <c r="K108" s="44"/>
      <c r="L108" s="252"/>
      <c r="M108" s="27"/>
    </row>
    <row r="109" spans="1:13" ht="15.75" x14ac:dyDescent="0.2">
      <c r="A109" s="21" t="s">
        <v>391</v>
      </c>
      <c r="B109" s="232"/>
      <c r="C109" s="232"/>
      <c r="D109" s="166"/>
      <c r="E109" s="27"/>
      <c r="F109" s="232">
        <v>0</v>
      </c>
      <c r="G109" s="232">
        <v>1252212</v>
      </c>
      <c r="H109" s="166" t="str">
        <f t="shared" si="18"/>
        <v xml:space="preserve">    ---- </v>
      </c>
      <c r="I109" s="27">
        <f>IFERROR(100/'Skjema total MA'!F109*G109,0)</f>
        <v>1.3092277895014111</v>
      </c>
      <c r="J109" s="285">
        <f t="shared" si="21"/>
        <v>0</v>
      </c>
      <c r="K109" s="44">
        <f t="shared" si="21"/>
        <v>1252212</v>
      </c>
      <c r="L109" s="252" t="str">
        <f t="shared" si="20"/>
        <v xml:space="preserve">    ---- </v>
      </c>
      <c r="M109" s="27">
        <f>IFERROR(100/'Skjema total MA'!I109*K109,0)</f>
        <v>1.2955969200355815</v>
      </c>
    </row>
    <row r="110" spans="1:13" ht="15.75" x14ac:dyDescent="0.2">
      <c r="A110" s="21" t="s">
        <v>392</v>
      </c>
      <c r="B110" s="232"/>
      <c r="C110" s="232"/>
      <c r="D110" s="166"/>
      <c r="E110" s="27"/>
      <c r="F110" s="232"/>
      <c r="G110" s="232"/>
      <c r="H110" s="166"/>
      <c r="I110" s="27"/>
      <c r="J110" s="285"/>
      <c r="K110" s="44"/>
      <c r="L110" s="252"/>
      <c r="M110" s="27"/>
    </row>
    <row r="111" spans="1:13" ht="15.75" x14ac:dyDescent="0.2">
      <c r="A111" s="13" t="s">
        <v>372</v>
      </c>
      <c r="B111" s="306">
        <v>68.75</v>
      </c>
      <c r="C111" s="159">
        <v>649</v>
      </c>
      <c r="D111" s="171">
        <f t="shared" si="17"/>
        <v>844</v>
      </c>
      <c r="E111" s="11">
        <f>IFERROR(100/'Skjema total MA'!C111*C111,0)</f>
        <v>0.24624204000442954</v>
      </c>
      <c r="F111" s="306">
        <v>30508.775000000001</v>
      </c>
      <c r="G111" s="159">
        <v>97104</v>
      </c>
      <c r="H111" s="171">
        <f t="shared" si="18"/>
        <v>218.3</v>
      </c>
      <c r="I111" s="11">
        <f>IFERROR(100/'Skjema total MA'!F111*G111,0)</f>
        <v>1.1900232191351234</v>
      </c>
      <c r="J111" s="307">
        <f t="shared" si="21"/>
        <v>30577.525000000001</v>
      </c>
      <c r="K111" s="234">
        <f t="shared" si="21"/>
        <v>97753</v>
      </c>
      <c r="L111" s="371">
        <f t="shared" si="20"/>
        <v>219.7</v>
      </c>
      <c r="M111" s="11">
        <f>IFERROR(100/'Skjema total MA'!I111*K111,0)</f>
        <v>1.1604930285398209</v>
      </c>
    </row>
    <row r="112" spans="1:13" x14ac:dyDescent="0.2">
      <c r="A112" s="21" t="s">
        <v>9</v>
      </c>
      <c r="B112" s="232"/>
      <c r="C112" s="145"/>
      <c r="D112" s="166"/>
      <c r="E112" s="27"/>
      <c r="F112" s="232"/>
      <c r="G112" s="145"/>
      <c r="H112" s="166"/>
      <c r="I112" s="27"/>
      <c r="J112" s="285"/>
      <c r="K112" s="44"/>
      <c r="L112" s="252"/>
      <c r="M112" s="27"/>
    </row>
    <row r="113" spans="1:14" x14ac:dyDescent="0.2">
      <c r="A113" s="21" t="s">
        <v>10</v>
      </c>
      <c r="B113" s="232">
        <v>68.75</v>
      </c>
      <c r="C113" s="145">
        <v>649</v>
      </c>
      <c r="D113" s="166">
        <f t="shared" ref="D113:D121" si="22">IF(B113=0, "    ---- ", IF(ABS(ROUND(100/B113*C113-100,1))&lt;999,ROUND(100/B113*C113-100,1),IF(ROUND(100/B113*C113-100,1)&gt;999,999,-999)))</f>
        <v>844</v>
      </c>
      <c r="E113" s="27">
        <f>IFERROR(100/'Skjema total MA'!C113*C113,0)</f>
        <v>65.25312708519057</v>
      </c>
      <c r="F113" s="232">
        <v>30508.775000000001</v>
      </c>
      <c r="G113" s="145">
        <v>97104</v>
      </c>
      <c r="H113" s="166">
        <f t="shared" ref="H113:H121" si="23">IF(F113=0, "    ---- ", IF(ABS(ROUND(100/F113*G113-100,1))&lt;999,ROUND(100/F113*G113-100,1),IF(ROUND(100/F113*G113-100,1)&gt;999,999,-999)))</f>
        <v>218.3</v>
      </c>
      <c r="I113" s="27">
        <f>IFERROR(100/'Skjema total MA'!F113*G113,0)</f>
        <v>1.1947514918493436</v>
      </c>
      <c r="J113" s="285">
        <f t="shared" ref="J113:K121" si="24">SUM(B113,F113)</f>
        <v>30577.525000000001</v>
      </c>
      <c r="K113" s="44">
        <f t="shared" si="24"/>
        <v>97753</v>
      </c>
      <c r="L113" s="252">
        <f t="shared" ref="L113:L121" si="25">IF(J113=0, "    ---- ", IF(ABS(ROUND(100/J113*K113-100,1))&lt;999,ROUND(100/J113*K113-100,1),IF(ROUND(100/J113*K113-100,1)&gt;999,999,-999)))</f>
        <v>219.7</v>
      </c>
      <c r="M113" s="27">
        <f>IFERROR(100/'Skjema total MA'!I113*K113,0)</f>
        <v>1.2025895161982347</v>
      </c>
    </row>
    <row r="114" spans="1:14" x14ac:dyDescent="0.2">
      <c r="A114" s="21" t="s">
        <v>26</v>
      </c>
      <c r="B114" s="232"/>
      <c r="C114" s="145"/>
      <c r="D114" s="166"/>
      <c r="E114" s="27"/>
      <c r="F114" s="232"/>
      <c r="G114" s="145"/>
      <c r="H114" s="166"/>
      <c r="I114" s="27"/>
      <c r="J114" s="285"/>
      <c r="K114" s="44"/>
      <c r="L114" s="252"/>
      <c r="M114" s="27"/>
    </row>
    <row r="115" spans="1:14" x14ac:dyDescent="0.2">
      <c r="A115" s="294" t="s">
        <v>15</v>
      </c>
      <c r="B115" s="279"/>
      <c r="C115" s="279"/>
      <c r="D115" s="166"/>
      <c r="E115" s="363"/>
      <c r="F115" s="279"/>
      <c r="G115" s="279"/>
      <c r="H115" s="166"/>
      <c r="I115" s="363"/>
      <c r="J115" s="288"/>
      <c r="K115" s="288"/>
      <c r="L115" s="166"/>
      <c r="M115" s="23"/>
    </row>
    <row r="116" spans="1:14" ht="15.75" x14ac:dyDescent="0.2">
      <c r="A116" s="21" t="s">
        <v>393</v>
      </c>
      <c r="B116" s="232"/>
      <c r="C116" s="232"/>
      <c r="D116" s="166"/>
      <c r="E116" s="27"/>
      <c r="F116" s="232"/>
      <c r="G116" s="232"/>
      <c r="H116" s="166"/>
      <c r="I116" s="27"/>
      <c r="J116" s="285"/>
      <c r="K116" s="44"/>
      <c r="L116" s="252"/>
      <c r="M116" s="27"/>
    </row>
    <row r="117" spans="1:14" ht="15.75" x14ac:dyDescent="0.2">
      <c r="A117" s="21" t="s">
        <v>394</v>
      </c>
      <c r="B117" s="232"/>
      <c r="C117" s="232"/>
      <c r="D117" s="166"/>
      <c r="E117" s="27"/>
      <c r="F117" s="232"/>
      <c r="G117" s="232"/>
      <c r="H117" s="166"/>
      <c r="I117" s="27"/>
      <c r="J117" s="285"/>
      <c r="K117" s="44"/>
      <c r="L117" s="252"/>
      <c r="M117" s="27"/>
    </row>
    <row r="118" spans="1:14" ht="15.75" x14ac:dyDescent="0.2">
      <c r="A118" s="21" t="s">
        <v>392</v>
      </c>
      <c r="B118" s="232"/>
      <c r="C118" s="232"/>
      <c r="D118" s="166"/>
      <c r="E118" s="27"/>
      <c r="F118" s="232"/>
      <c r="G118" s="232"/>
      <c r="H118" s="166"/>
      <c r="I118" s="27"/>
      <c r="J118" s="285"/>
      <c r="K118" s="44"/>
      <c r="L118" s="252"/>
      <c r="M118" s="27"/>
    </row>
    <row r="119" spans="1:14" ht="15.75" x14ac:dyDescent="0.2">
      <c r="A119" s="13" t="s">
        <v>373</v>
      </c>
      <c r="B119" s="306">
        <v>1816.404</v>
      </c>
      <c r="C119" s="159">
        <v>678</v>
      </c>
      <c r="D119" s="171">
        <f t="shared" si="22"/>
        <v>-62.7</v>
      </c>
      <c r="E119" s="11">
        <f>IFERROR(100/'Skjema total MA'!C119*C119,0)</f>
        <v>0.24220441162944065</v>
      </c>
      <c r="F119" s="306">
        <v>88946.504000000001</v>
      </c>
      <c r="G119" s="159">
        <v>51380</v>
      </c>
      <c r="H119" s="171">
        <f t="shared" si="23"/>
        <v>-42.2</v>
      </c>
      <c r="I119" s="11">
        <f>IFERROR(100/'Skjema total MA'!F119*G119,0)</f>
        <v>0.63447605823306175</v>
      </c>
      <c r="J119" s="307">
        <f t="shared" si="24"/>
        <v>90762.907999999996</v>
      </c>
      <c r="K119" s="234">
        <f t="shared" si="24"/>
        <v>52058</v>
      </c>
      <c r="L119" s="371">
        <f t="shared" si="25"/>
        <v>-42.6</v>
      </c>
      <c r="M119" s="11">
        <f>IFERROR(100/'Skjema total MA'!I119*K119,0)</f>
        <v>0.62136925307499857</v>
      </c>
    </row>
    <row r="120" spans="1:14" x14ac:dyDescent="0.2">
      <c r="A120" s="21" t="s">
        <v>9</v>
      </c>
      <c r="B120" s="232"/>
      <c r="C120" s="145"/>
      <c r="D120" s="166"/>
      <c r="E120" s="27"/>
      <c r="F120" s="232"/>
      <c r="G120" s="145"/>
      <c r="H120" s="166"/>
      <c r="I120" s="27"/>
      <c r="J120" s="285"/>
      <c r="K120" s="44"/>
      <c r="L120" s="252"/>
      <c r="M120" s="27"/>
    </row>
    <row r="121" spans="1:14" x14ac:dyDescent="0.2">
      <c r="A121" s="21" t="s">
        <v>10</v>
      </c>
      <c r="B121" s="232">
        <v>1816.404</v>
      </c>
      <c r="C121" s="145">
        <v>678</v>
      </c>
      <c r="D121" s="166">
        <f t="shared" si="22"/>
        <v>-62.7</v>
      </c>
      <c r="E121" s="27">
        <f>IFERROR(100/'Skjema total MA'!C121*C121,0)</f>
        <v>3.1540957717195073</v>
      </c>
      <c r="F121" s="232">
        <v>88946.504000000001</v>
      </c>
      <c r="G121" s="145">
        <v>51380</v>
      </c>
      <c r="H121" s="166">
        <f t="shared" si="23"/>
        <v>-42.2</v>
      </c>
      <c r="I121" s="27">
        <f>IFERROR(100/'Skjema total MA'!F121*G121,0)</f>
        <v>0.63447605823306175</v>
      </c>
      <c r="J121" s="285">
        <f t="shared" si="24"/>
        <v>90762.907999999996</v>
      </c>
      <c r="K121" s="44">
        <f t="shared" si="24"/>
        <v>52058</v>
      </c>
      <c r="L121" s="252">
        <f t="shared" si="25"/>
        <v>-42.6</v>
      </c>
      <c r="M121" s="27">
        <f>IFERROR(100/'Skjema total MA'!I121*K121,0)</f>
        <v>0.64114657783502604</v>
      </c>
    </row>
    <row r="122" spans="1:14" x14ac:dyDescent="0.2">
      <c r="A122" s="21" t="s">
        <v>26</v>
      </c>
      <c r="B122" s="232"/>
      <c r="C122" s="145"/>
      <c r="D122" s="166"/>
      <c r="E122" s="27"/>
      <c r="F122" s="232"/>
      <c r="G122" s="145"/>
      <c r="H122" s="166"/>
      <c r="I122" s="27"/>
      <c r="J122" s="285"/>
      <c r="K122" s="44"/>
      <c r="L122" s="252"/>
      <c r="M122" s="27"/>
    </row>
    <row r="123" spans="1:14" x14ac:dyDescent="0.2">
      <c r="A123" s="294" t="s">
        <v>14</v>
      </c>
      <c r="B123" s="279"/>
      <c r="C123" s="279"/>
      <c r="D123" s="166"/>
      <c r="E123" s="363"/>
      <c r="F123" s="279"/>
      <c r="G123" s="279"/>
      <c r="H123" s="166"/>
      <c r="I123" s="363"/>
      <c r="J123" s="288"/>
      <c r="K123" s="288"/>
      <c r="L123" s="166"/>
      <c r="M123" s="23"/>
    </row>
    <row r="124" spans="1:14" ht="15.75" x14ac:dyDescent="0.2">
      <c r="A124" s="21" t="s">
        <v>399</v>
      </c>
      <c r="B124" s="232"/>
      <c r="C124" s="232"/>
      <c r="D124" s="166"/>
      <c r="E124" s="27"/>
      <c r="F124" s="232"/>
      <c r="G124" s="232"/>
      <c r="H124" s="166"/>
      <c r="I124" s="27"/>
      <c r="J124" s="285"/>
      <c r="K124" s="44"/>
      <c r="L124" s="252"/>
      <c r="M124" s="27"/>
    </row>
    <row r="125" spans="1:14" ht="15.75" x14ac:dyDescent="0.2">
      <c r="A125" s="21" t="s">
        <v>391</v>
      </c>
      <c r="B125" s="232"/>
      <c r="C125" s="232"/>
      <c r="D125" s="166"/>
      <c r="E125" s="27"/>
      <c r="F125" s="232"/>
      <c r="G125" s="232"/>
      <c r="H125" s="166"/>
      <c r="I125" s="27"/>
      <c r="J125" s="285"/>
      <c r="K125" s="44"/>
      <c r="L125" s="252"/>
      <c r="M125" s="27"/>
    </row>
    <row r="126" spans="1:14" ht="15.75" x14ac:dyDescent="0.2">
      <c r="A126" s="10" t="s">
        <v>392</v>
      </c>
      <c r="B126" s="45"/>
      <c r="C126" s="45"/>
      <c r="D126" s="167"/>
      <c r="E126" s="364"/>
      <c r="F126" s="45"/>
      <c r="G126" s="45"/>
      <c r="H126" s="167"/>
      <c r="I126" s="22"/>
      <c r="J126" s="286"/>
      <c r="K126" s="45"/>
      <c r="L126" s="253"/>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95"/>
      <c r="C130" s="695"/>
      <c r="D130" s="695"/>
      <c r="E130" s="297"/>
      <c r="F130" s="695"/>
      <c r="G130" s="695"/>
      <c r="H130" s="695"/>
      <c r="I130" s="297"/>
      <c r="J130" s="695"/>
      <c r="K130" s="695"/>
      <c r="L130" s="695"/>
      <c r="M130" s="297"/>
    </row>
    <row r="131" spans="1:14" s="3" customFormat="1" x14ac:dyDescent="0.2">
      <c r="A131" s="144"/>
      <c r="B131" s="696" t="s">
        <v>0</v>
      </c>
      <c r="C131" s="697"/>
      <c r="D131" s="697"/>
      <c r="E131" s="299"/>
      <c r="F131" s="696" t="s">
        <v>1</v>
      </c>
      <c r="G131" s="697"/>
      <c r="H131" s="697"/>
      <c r="I131" s="302"/>
      <c r="J131" s="696" t="s">
        <v>2</v>
      </c>
      <c r="K131" s="697"/>
      <c r="L131" s="697"/>
      <c r="M131" s="302"/>
      <c r="N131" s="148"/>
    </row>
    <row r="132" spans="1:14" s="3" customFormat="1" x14ac:dyDescent="0.2">
      <c r="A132" s="140"/>
      <c r="B132" s="152" t="s">
        <v>422</v>
      </c>
      <c r="C132" s="152" t="s">
        <v>423</v>
      </c>
      <c r="D132" s="243" t="s">
        <v>3</v>
      </c>
      <c r="E132" s="303" t="s">
        <v>29</v>
      </c>
      <c r="F132" s="152" t="s">
        <v>422</v>
      </c>
      <c r="G132" s="152" t="s">
        <v>423</v>
      </c>
      <c r="H132" s="205" t="s">
        <v>3</v>
      </c>
      <c r="I132" s="162" t="s">
        <v>29</v>
      </c>
      <c r="J132" s="152" t="s">
        <v>422</v>
      </c>
      <c r="K132" s="152" t="s">
        <v>423</v>
      </c>
      <c r="L132" s="244" t="s">
        <v>3</v>
      </c>
      <c r="M132" s="162" t="s">
        <v>29</v>
      </c>
      <c r="N132" s="148"/>
    </row>
    <row r="133" spans="1:14" s="3" customFormat="1" x14ac:dyDescent="0.2">
      <c r="A133" s="666"/>
      <c r="B133" s="156"/>
      <c r="C133" s="156"/>
      <c r="D133" s="244" t="s">
        <v>4</v>
      </c>
      <c r="E133" s="156" t="s">
        <v>30</v>
      </c>
      <c r="F133" s="161"/>
      <c r="G133" s="161"/>
      <c r="H133" s="205" t="s">
        <v>4</v>
      </c>
      <c r="I133" s="156" t="s">
        <v>30</v>
      </c>
      <c r="J133" s="156"/>
      <c r="K133" s="156"/>
      <c r="L133" s="150" t="s">
        <v>4</v>
      </c>
      <c r="M133" s="156" t="s">
        <v>30</v>
      </c>
      <c r="N133" s="148"/>
    </row>
    <row r="134" spans="1:14" s="3" customFormat="1" ht="15.75" x14ac:dyDescent="0.2">
      <c r="A134" s="14" t="s">
        <v>395</v>
      </c>
      <c r="B134" s="234"/>
      <c r="C134" s="307"/>
      <c r="D134" s="347"/>
      <c r="E134" s="11"/>
      <c r="F134" s="314"/>
      <c r="G134" s="315"/>
      <c r="H134" s="374"/>
      <c r="I134" s="24"/>
      <c r="J134" s="316"/>
      <c r="K134" s="316"/>
      <c r="L134" s="370"/>
      <c r="M134" s="11"/>
      <c r="N134" s="148"/>
    </row>
    <row r="135" spans="1:14" s="3" customFormat="1" ht="15.75" x14ac:dyDescent="0.2">
      <c r="A135" s="13" t="s">
        <v>400</v>
      </c>
      <c r="B135" s="234"/>
      <c r="C135" s="307"/>
      <c r="D135" s="171"/>
      <c r="E135" s="11"/>
      <c r="F135" s="234"/>
      <c r="G135" s="307"/>
      <c r="H135" s="375"/>
      <c r="I135" s="24"/>
      <c r="J135" s="306"/>
      <c r="K135" s="306"/>
      <c r="L135" s="371"/>
      <c r="M135" s="11"/>
      <c r="N135" s="148"/>
    </row>
    <row r="136" spans="1:14" s="3" customFormat="1" ht="15.75" x14ac:dyDescent="0.2">
      <c r="A136" s="13" t="s">
        <v>397</v>
      </c>
      <c r="B136" s="234"/>
      <c r="C136" s="307"/>
      <c r="D136" s="171"/>
      <c r="E136" s="11"/>
      <c r="F136" s="234"/>
      <c r="G136" s="307"/>
      <c r="H136" s="375"/>
      <c r="I136" s="24"/>
      <c r="J136" s="306"/>
      <c r="K136" s="306"/>
      <c r="L136" s="371"/>
      <c r="M136" s="11"/>
      <c r="N136" s="148"/>
    </row>
    <row r="137" spans="1:14" s="3" customFormat="1" ht="15.75" x14ac:dyDescent="0.2">
      <c r="A137" s="41" t="s">
        <v>398</v>
      </c>
      <c r="B137" s="274"/>
      <c r="C137" s="313"/>
      <c r="D137" s="169"/>
      <c r="E137" s="9"/>
      <c r="F137" s="274"/>
      <c r="G137" s="313"/>
      <c r="H137" s="376"/>
      <c r="I137" s="36"/>
      <c r="J137" s="312"/>
      <c r="K137" s="312"/>
      <c r="L137" s="372"/>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340" priority="132">
      <formula>kvartal &lt; 4</formula>
    </cfRule>
  </conditionalFormatting>
  <conditionalFormatting sqref="B69">
    <cfRule type="expression" dxfId="1339" priority="100">
      <formula>kvartal &lt; 4</formula>
    </cfRule>
  </conditionalFormatting>
  <conditionalFormatting sqref="C69">
    <cfRule type="expression" dxfId="1338" priority="99">
      <formula>kvartal &lt; 4</formula>
    </cfRule>
  </conditionalFormatting>
  <conditionalFormatting sqref="B72">
    <cfRule type="expression" dxfId="1337" priority="98">
      <formula>kvartal &lt; 4</formula>
    </cfRule>
  </conditionalFormatting>
  <conditionalFormatting sqref="C72">
    <cfRule type="expression" dxfId="1336" priority="97">
      <formula>kvartal &lt; 4</formula>
    </cfRule>
  </conditionalFormatting>
  <conditionalFormatting sqref="B80">
    <cfRule type="expression" dxfId="1335" priority="96">
      <formula>kvartal &lt; 4</formula>
    </cfRule>
  </conditionalFormatting>
  <conditionalFormatting sqref="C80">
    <cfRule type="expression" dxfId="1334" priority="95">
      <formula>kvartal &lt; 4</formula>
    </cfRule>
  </conditionalFormatting>
  <conditionalFormatting sqref="B83">
    <cfRule type="expression" dxfId="1333" priority="94">
      <formula>kvartal &lt; 4</formula>
    </cfRule>
  </conditionalFormatting>
  <conditionalFormatting sqref="C83">
    <cfRule type="expression" dxfId="1332" priority="93">
      <formula>kvartal &lt; 4</formula>
    </cfRule>
  </conditionalFormatting>
  <conditionalFormatting sqref="B90">
    <cfRule type="expression" dxfId="1331" priority="84">
      <formula>kvartal &lt; 4</formula>
    </cfRule>
  </conditionalFormatting>
  <conditionalFormatting sqref="C90">
    <cfRule type="expression" dxfId="1330" priority="83">
      <formula>kvartal &lt; 4</formula>
    </cfRule>
  </conditionalFormatting>
  <conditionalFormatting sqref="B93">
    <cfRule type="expression" dxfId="1329" priority="82">
      <formula>kvartal &lt; 4</formula>
    </cfRule>
  </conditionalFormatting>
  <conditionalFormatting sqref="C93">
    <cfRule type="expression" dxfId="1328" priority="81">
      <formula>kvartal &lt; 4</formula>
    </cfRule>
  </conditionalFormatting>
  <conditionalFormatting sqref="B101">
    <cfRule type="expression" dxfId="1327" priority="80">
      <formula>kvartal &lt; 4</formula>
    </cfRule>
  </conditionalFormatting>
  <conditionalFormatting sqref="C101">
    <cfRule type="expression" dxfId="1326" priority="79">
      <formula>kvartal &lt; 4</formula>
    </cfRule>
  </conditionalFormatting>
  <conditionalFormatting sqref="B104">
    <cfRule type="expression" dxfId="1325" priority="78">
      <formula>kvartal &lt; 4</formula>
    </cfRule>
  </conditionalFormatting>
  <conditionalFormatting sqref="C104">
    <cfRule type="expression" dxfId="1324" priority="77">
      <formula>kvartal &lt; 4</formula>
    </cfRule>
  </conditionalFormatting>
  <conditionalFormatting sqref="B115">
    <cfRule type="expression" dxfId="1323" priority="76">
      <formula>kvartal &lt; 4</formula>
    </cfRule>
  </conditionalFormatting>
  <conditionalFormatting sqref="C115">
    <cfRule type="expression" dxfId="1322" priority="75">
      <formula>kvartal &lt; 4</formula>
    </cfRule>
  </conditionalFormatting>
  <conditionalFormatting sqref="B123">
    <cfRule type="expression" dxfId="1321" priority="74">
      <formula>kvartal &lt; 4</formula>
    </cfRule>
  </conditionalFormatting>
  <conditionalFormatting sqref="C123">
    <cfRule type="expression" dxfId="1320" priority="73">
      <formula>kvartal &lt; 4</formula>
    </cfRule>
  </conditionalFormatting>
  <conditionalFormatting sqref="F70">
    <cfRule type="expression" dxfId="1319" priority="72">
      <formula>kvartal &lt; 4</formula>
    </cfRule>
  </conditionalFormatting>
  <conditionalFormatting sqref="G70">
    <cfRule type="expression" dxfId="1318" priority="71">
      <formula>kvartal &lt; 4</formula>
    </cfRule>
  </conditionalFormatting>
  <conditionalFormatting sqref="F71:G71">
    <cfRule type="expression" dxfId="1317" priority="70">
      <formula>kvartal &lt; 4</formula>
    </cfRule>
  </conditionalFormatting>
  <conditionalFormatting sqref="F73:G74">
    <cfRule type="expression" dxfId="1316" priority="69">
      <formula>kvartal &lt; 4</formula>
    </cfRule>
  </conditionalFormatting>
  <conditionalFormatting sqref="F81:G82">
    <cfRule type="expression" dxfId="1315" priority="68">
      <formula>kvartal &lt; 4</formula>
    </cfRule>
  </conditionalFormatting>
  <conditionalFormatting sqref="F84:G85">
    <cfRule type="expression" dxfId="1314" priority="67">
      <formula>kvartal &lt; 4</formula>
    </cfRule>
  </conditionalFormatting>
  <conditionalFormatting sqref="F91:G92">
    <cfRule type="expression" dxfId="1313" priority="62">
      <formula>kvartal &lt; 4</formula>
    </cfRule>
  </conditionalFormatting>
  <conditionalFormatting sqref="F94:G95">
    <cfRule type="expression" dxfId="1312" priority="61">
      <formula>kvartal &lt; 4</formula>
    </cfRule>
  </conditionalFormatting>
  <conditionalFormatting sqref="F102:G103">
    <cfRule type="expression" dxfId="1311" priority="60">
      <formula>kvartal &lt; 4</formula>
    </cfRule>
  </conditionalFormatting>
  <conditionalFormatting sqref="F105:G106">
    <cfRule type="expression" dxfId="1310" priority="59">
      <formula>kvartal &lt; 4</formula>
    </cfRule>
  </conditionalFormatting>
  <conditionalFormatting sqref="F115">
    <cfRule type="expression" dxfId="1309" priority="58">
      <formula>kvartal &lt; 4</formula>
    </cfRule>
  </conditionalFormatting>
  <conditionalFormatting sqref="G115">
    <cfRule type="expression" dxfId="1308" priority="57">
      <formula>kvartal &lt; 4</formula>
    </cfRule>
  </conditionalFormatting>
  <conditionalFormatting sqref="F123:G123">
    <cfRule type="expression" dxfId="1307" priority="56">
      <formula>kvartal &lt; 4</formula>
    </cfRule>
  </conditionalFormatting>
  <conditionalFormatting sqref="F69:G69">
    <cfRule type="expression" dxfId="1306" priority="55">
      <formula>kvartal &lt; 4</formula>
    </cfRule>
  </conditionalFormatting>
  <conditionalFormatting sqref="F72:G72">
    <cfRule type="expression" dxfId="1305" priority="54">
      <formula>kvartal &lt; 4</formula>
    </cfRule>
  </conditionalFormatting>
  <conditionalFormatting sqref="F80:G80">
    <cfRule type="expression" dxfId="1304" priority="53">
      <formula>kvartal &lt; 4</formula>
    </cfRule>
  </conditionalFormatting>
  <conditionalFormatting sqref="F83:G83">
    <cfRule type="expression" dxfId="1303" priority="52">
      <formula>kvartal &lt; 4</formula>
    </cfRule>
  </conditionalFormatting>
  <conditionalFormatting sqref="F90:G90">
    <cfRule type="expression" dxfId="1302" priority="46">
      <formula>kvartal &lt; 4</formula>
    </cfRule>
  </conditionalFormatting>
  <conditionalFormatting sqref="F93">
    <cfRule type="expression" dxfId="1301" priority="45">
      <formula>kvartal &lt; 4</formula>
    </cfRule>
  </conditionalFormatting>
  <conditionalFormatting sqref="G93">
    <cfRule type="expression" dxfId="1300" priority="44">
      <formula>kvartal &lt; 4</formula>
    </cfRule>
  </conditionalFormatting>
  <conditionalFormatting sqref="F101">
    <cfRule type="expression" dxfId="1299" priority="43">
      <formula>kvartal &lt; 4</formula>
    </cfRule>
  </conditionalFormatting>
  <conditionalFormatting sqref="G101">
    <cfRule type="expression" dxfId="1298" priority="42">
      <formula>kvartal &lt; 4</formula>
    </cfRule>
  </conditionalFormatting>
  <conditionalFormatting sqref="G104">
    <cfRule type="expression" dxfId="1297" priority="41">
      <formula>kvartal &lt; 4</formula>
    </cfRule>
  </conditionalFormatting>
  <conditionalFormatting sqref="F104">
    <cfRule type="expression" dxfId="1296" priority="40">
      <formula>kvartal &lt; 4</formula>
    </cfRule>
  </conditionalFormatting>
  <conditionalFormatting sqref="J69:K73">
    <cfRule type="expression" dxfId="1295" priority="39">
      <formula>kvartal &lt; 4</formula>
    </cfRule>
  </conditionalFormatting>
  <conditionalFormatting sqref="J74:K74">
    <cfRule type="expression" dxfId="1294" priority="38">
      <formula>kvartal &lt; 4</formula>
    </cfRule>
  </conditionalFormatting>
  <conditionalFormatting sqref="J80:K85">
    <cfRule type="expression" dxfId="1293" priority="37">
      <formula>kvartal &lt; 4</formula>
    </cfRule>
  </conditionalFormatting>
  <conditionalFormatting sqref="J90:K95">
    <cfRule type="expression" dxfId="1292" priority="34">
      <formula>kvartal &lt; 4</formula>
    </cfRule>
  </conditionalFormatting>
  <conditionalFormatting sqref="J101:K106">
    <cfRule type="expression" dxfId="1291" priority="33">
      <formula>kvartal &lt; 4</formula>
    </cfRule>
  </conditionalFormatting>
  <conditionalFormatting sqref="J115:K115">
    <cfRule type="expression" dxfId="1290" priority="32">
      <formula>kvartal &lt; 4</formula>
    </cfRule>
  </conditionalFormatting>
  <conditionalFormatting sqref="J123:K123">
    <cfRule type="expression" dxfId="1289" priority="31">
      <formula>kvartal &lt; 4</formula>
    </cfRule>
  </conditionalFormatting>
  <conditionalFormatting sqref="A50:A52">
    <cfRule type="expression" dxfId="1288" priority="12">
      <formula>kvartal &lt; 4</formula>
    </cfRule>
  </conditionalFormatting>
  <conditionalFormatting sqref="A69:A74">
    <cfRule type="expression" dxfId="1287" priority="10">
      <formula>kvartal &lt; 4</formula>
    </cfRule>
  </conditionalFormatting>
  <conditionalFormatting sqref="A80:A85">
    <cfRule type="expression" dxfId="1286" priority="9">
      <formula>kvartal &lt; 4</formula>
    </cfRule>
  </conditionalFormatting>
  <conditionalFormatting sqref="A90:A95">
    <cfRule type="expression" dxfId="1285" priority="6">
      <formula>kvartal &lt; 4</formula>
    </cfRule>
  </conditionalFormatting>
  <conditionalFormatting sqref="A101:A106">
    <cfRule type="expression" dxfId="1284" priority="5">
      <formula>kvartal &lt; 4</formula>
    </cfRule>
  </conditionalFormatting>
  <conditionalFormatting sqref="A115">
    <cfRule type="expression" dxfId="1283" priority="4">
      <formula>kvartal &lt; 4</formula>
    </cfRule>
  </conditionalFormatting>
  <conditionalFormatting sqref="A123">
    <cfRule type="expression" dxfId="1282" priority="3">
      <formula>kvartal &lt; 4</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64"/>
      <c r="C1" s="246" t="s">
        <v>132</v>
      </c>
      <c r="D1" s="26"/>
      <c r="E1" s="26"/>
      <c r="F1" s="26"/>
      <c r="G1" s="26"/>
      <c r="H1" s="26"/>
      <c r="I1" s="26"/>
      <c r="J1" s="26"/>
      <c r="K1" s="26"/>
      <c r="L1" s="26"/>
      <c r="M1" s="26"/>
    </row>
    <row r="2" spans="1:14" ht="15.75" x14ac:dyDescent="0.25">
      <c r="A2" s="165" t="s">
        <v>28</v>
      </c>
      <c r="B2" s="700"/>
      <c r="C2" s="700"/>
      <c r="D2" s="700"/>
      <c r="E2" s="297"/>
      <c r="F2" s="700"/>
      <c r="G2" s="700"/>
      <c r="H2" s="700"/>
      <c r="I2" s="297"/>
      <c r="J2" s="700"/>
      <c r="K2" s="700"/>
      <c r="L2" s="700"/>
      <c r="M2" s="297"/>
    </row>
    <row r="3" spans="1:14" ht="15.75" x14ac:dyDescent="0.25">
      <c r="A3" s="163"/>
      <c r="B3" s="297"/>
      <c r="C3" s="297"/>
      <c r="D3" s="297"/>
      <c r="E3" s="297"/>
      <c r="F3" s="297"/>
      <c r="G3" s="297"/>
      <c r="H3" s="297"/>
      <c r="I3" s="297"/>
      <c r="J3" s="297"/>
      <c r="K3" s="297"/>
      <c r="L3" s="297"/>
      <c r="M3" s="297"/>
    </row>
    <row r="4" spans="1:14" x14ac:dyDescent="0.2">
      <c r="A4" s="144"/>
      <c r="B4" s="696" t="s">
        <v>0</v>
      </c>
      <c r="C4" s="697"/>
      <c r="D4" s="697"/>
      <c r="E4" s="299"/>
      <c r="F4" s="696" t="s">
        <v>1</v>
      </c>
      <c r="G4" s="697"/>
      <c r="H4" s="697"/>
      <c r="I4" s="302"/>
      <c r="J4" s="696" t="s">
        <v>2</v>
      </c>
      <c r="K4" s="697"/>
      <c r="L4" s="697"/>
      <c r="M4" s="302"/>
    </row>
    <row r="5" spans="1:14" x14ac:dyDescent="0.2">
      <c r="A5" s="158"/>
      <c r="B5" s="152" t="s">
        <v>422</v>
      </c>
      <c r="C5" s="152" t="s">
        <v>423</v>
      </c>
      <c r="D5" s="243" t="s">
        <v>3</v>
      </c>
      <c r="E5" s="303" t="s">
        <v>29</v>
      </c>
      <c r="F5" s="152" t="s">
        <v>422</v>
      </c>
      <c r="G5" s="152" t="s">
        <v>423</v>
      </c>
      <c r="H5" s="243" t="s">
        <v>3</v>
      </c>
      <c r="I5" s="162" t="s">
        <v>29</v>
      </c>
      <c r="J5" s="152" t="s">
        <v>422</v>
      </c>
      <c r="K5" s="152" t="s">
        <v>423</v>
      </c>
      <c r="L5" s="243" t="s">
        <v>3</v>
      </c>
      <c r="M5" s="162" t="s">
        <v>29</v>
      </c>
    </row>
    <row r="6" spans="1:14" x14ac:dyDescent="0.2">
      <c r="A6" s="665"/>
      <c r="B6" s="156"/>
      <c r="C6" s="156"/>
      <c r="D6" s="244" t="s">
        <v>4</v>
      </c>
      <c r="E6" s="156" t="s">
        <v>30</v>
      </c>
      <c r="F6" s="161"/>
      <c r="G6" s="161"/>
      <c r="H6" s="243" t="s">
        <v>4</v>
      </c>
      <c r="I6" s="156" t="s">
        <v>30</v>
      </c>
      <c r="J6" s="161"/>
      <c r="K6" s="161"/>
      <c r="L6" s="243" t="s">
        <v>4</v>
      </c>
      <c r="M6" s="156" t="s">
        <v>30</v>
      </c>
    </row>
    <row r="7" spans="1:14" ht="15.75" x14ac:dyDescent="0.2">
      <c r="A7" s="14" t="s">
        <v>23</v>
      </c>
      <c r="B7" s="304"/>
      <c r="C7" s="305"/>
      <c r="D7" s="347"/>
      <c r="E7" s="11"/>
      <c r="F7" s="304"/>
      <c r="G7" s="305"/>
      <c r="H7" s="347"/>
      <c r="I7" s="160"/>
      <c r="J7" s="306"/>
      <c r="K7" s="307"/>
      <c r="L7" s="370"/>
      <c r="M7" s="11"/>
    </row>
    <row r="8" spans="1:14" ht="15.75" x14ac:dyDescent="0.2">
      <c r="A8" s="21" t="s">
        <v>25</v>
      </c>
      <c r="B8" s="279"/>
      <c r="C8" s="280"/>
      <c r="D8" s="166"/>
      <c r="E8" s="27"/>
      <c r="F8" s="283"/>
      <c r="G8" s="284"/>
      <c r="H8" s="166"/>
      <c r="I8" s="175"/>
      <c r="J8" s="232"/>
      <c r="K8" s="285"/>
      <c r="L8" s="252"/>
      <c r="M8" s="27"/>
    </row>
    <row r="9" spans="1:14" ht="15.75" x14ac:dyDescent="0.2">
      <c r="A9" s="21" t="s">
        <v>24</v>
      </c>
      <c r="B9" s="279"/>
      <c r="C9" s="280"/>
      <c r="D9" s="166"/>
      <c r="E9" s="27"/>
      <c r="F9" s="283"/>
      <c r="G9" s="284"/>
      <c r="H9" s="166"/>
      <c r="I9" s="175"/>
      <c r="J9" s="232"/>
      <c r="K9" s="285"/>
      <c r="L9" s="252"/>
      <c r="M9" s="27"/>
    </row>
    <row r="10" spans="1:14" ht="15.75" x14ac:dyDescent="0.2">
      <c r="A10" s="13" t="s">
        <v>371</v>
      </c>
      <c r="B10" s="308"/>
      <c r="C10" s="309"/>
      <c r="D10" s="171"/>
      <c r="E10" s="11"/>
      <c r="F10" s="308"/>
      <c r="G10" s="309"/>
      <c r="H10" s="171"/>
      <c r="I10" s="160"/>
      <c r="J10" s="306"/>
      <c r="K10" s="307"/>
      <c r="L10" s="371"/>
      <c r="M10" s="11"/>
    </row>
    <row r="11" spans="1:14" s="43" customFormat="1" ht="15.75" x14ac:dyDescent="0.2">
      <c r="A11" s="13" t="s">
        <v>372</v>
      </c>
      <c r="B11" s="308"/>
      <c r="C11" s="309"/>
      <c r="D11" s="171"/>
      <c r="E11" s="11"/>
      <c r="F11" s="308"/>
      <c r="G11" s="309"/>
      <c r="H11" s="171"/>
      <c r="I11" s="160"/>
      <c r="J11" s="306"/>
      <c r="K11" s="307"/>
      <c r="L11" s="371"/>
      <c r="M11" s="11"/>
      <c r="N11" s="143"/>
    </row>
    <row r="12" spans="1:14" s="43" customFormat="1" ht="15.75" x14ac:dyDescent="0.2">
      <c r="A12" s="41" t="s">
        <v>373</v>
      </c>
      <c r="B12" s="310"/>
      <c r="C12" s="311"/>
      <c r="D12" s="169"/>
      <c r="E12" s="36"/>
      <c r="F12" s="310"/>
      <c r="G12" s="311"/>
      <c r="H12" s="169"/>
      <c r="I12" s="169"/>
      <c r="J12" s="312"/>
      <c r="K12" s="313"/>
      <c r="L12" s="372"/>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95"/>
      <c r="C18" s="695"/>
      <c r="D18" s="695"/>
      <c r="E18" s="297"/>
      <c r="F18" s="695"/>
      <c r="G18" s="695"/>
      <c r="H18" s="695"/>
      <c r="I18" s="297"/>
      <c r="J18" s="695"/>
      <c r="K18" s="695"/>
      <c r="L18" s="695"/>
      <c r="M18" s="297"/>
    </row>
    <row r="19" spans="1:14" x14ac:dyDescent="0.2">
      <c r="A19" s="144"/>
      <c r="B19" s="696" t="s">
        <v>0</v>
      </c>
      <c r="C19" s="697"/>
      <c r="D19" s="697"/>
      <c r="E19" s="299"/>
      <c r="F19" s="696" t="s">
        <v>1</v>
      </c>
      <c r="G19" s="697"/>
      <c r="H19" s="697"/>
      <c r="I19" s="302"/>
      <c r="J19" s="696" t="s">
        <v>2</v>
      </c>
      <c r="K19" s="697"/>
      <c r="L19" s="697"/>
      <c r="M19" s="302"/>
    </row>
    <row r="20" spans="1:14" x14ac:dyDescent="0.2">
      <c r="A20" s="140" t="s">
        <v>5</v>
      </c>
      <c r="B20" s="152" t="s">
        <v>422</v>
      </c>
      <c r="C20" s="152" t="s">
        <v>423</v>
      </c>
      <c r="D20" s="162" t="s">
        <v>3</v>
      </c>
      <c r="E20" s="303" t="s">
        <v>29</v>
      </c>
      <c r="F20" s="152" t="s">
        <v>422</v>
      </c>
      <c r="G20" s="152" t="s">
        <v>423</v>
      </c>
      <c r="H20" s="162" t="s">
        <v>3</v>
      </c>
      <c r="I20" s="162" t="s">
        <v>29</v>
      </c>
      <c r="J20" s="152" t="s">
        <v>422</v>
      </c>
      <c r="K20" s="152" t="s">
        <v>423</v>
      </c>
      <c r="L20" s="162" t="s">
        <v>3</v>
      </c>
      <c r="M20" s="162" t="s">
        <v>29</v>
      </c>
    </row>
    <row r="21" spans="1:14" x14ac:dyDescent="0.2">
      <c r="A21" s="666"/>
      <c r="B21" s="156"/>
      <c r="C21" s="156"/>
      <c r="D21" s="244" t="s">
        <v>4</v>
      </c>
      <c r="E21" s="156" t="s">
        <v>30</v>
      </c>
      <c r="F21" s="161"/>
      <c r="G21" s="161"/>
      <c r="H21" s="243" t="s">
        <v>4</v>
      </c>
      <c r="I21" s="156" t="s">
        <v>30</v>
      </c>
      <c r="J21" s="161"/>
      <c r="K21" s="161"/>
      <c r="L21" s="156" t="s">
        <v>4</v>
      </c>
      <c r="M21" s="156" t="s">
        <v>30</v>
      </c>
    </row>
    <row r="22" spans="1:14" ht="15.75" x14ac:dyDescent="0.2">
      <c r="A22" s="14" t="s">
        <v>23</v>
      </c>
      <c r="B22" s="308"/>
      <c r="C22" s="308"/>
      <c r="D22" s="347"/>
      <c r="E22" s="11"/>
      <c r="F22" s="316"/>
      <c r="G22" s="316"/>
      <c r="H22" s="347"/>
      <c r="I22" s="11"/>
      <c r="J22" s="314"/>
      <c r="K22" s="314"/>
      <c r="L22" s="370"/>
      <c r="M22" s="24"/>
    </row>
    <row r="23" spans="1:14" ht="15.75" x14ac:dyDescent="0.2">
      <c r="A23" s="551" t="s">
        <v>374</v>
      </c>
      <c r="B23" s="279"/>
      <c r="C23" s="279"/>
      <c r="D23" s="166"/>
      <c r="E23" s="11"/>
      <c r="F23" s="288"/>
      <c r="G23" s="288"/>
      <c r="H23" s="166"/>
      <c r="I23" s="363"/>
      <c r="J23" s="288"/>
      <c r="K23" s="288"/>
      <c r="L23" s="166"/>
      <c r="M23" s="23"/>
    </row>
    <row r="24" spans="1:14" ht="15.75" x14ac:dyDescent="0.2">
      <c r="A24" s="551" t="s">
        <v>375</v>
      </c>
      <c r="B24" s="279"/>
      <c r="C24" s="279"/>
      <c r="D24" s="166"/>
      <c r="E24" s="11"/>
      <c r="F24" s="288"/>
      <c r="G24" s="288"/>
      <c r="H24" s="166"/>
      <c r="I24" s="363"/>
      <c r="J24" s="288"/>
      <c r="K24" s="288"/>
      <c r="L24" s="166"/>
      <c r="M24" s="23"/>
    </row>
    <row r="25" spans="1:14" ht="15.75" x14ac:dyDescent="0.2">
      <c r="A25" s="551" t="s">
        <v>376</v>
      </c>
      <c r="B25" s="279"/>
      <c r="C25" s="279"/>
      <c r="D25" s="166"/>
      <c r="E25" s="11"/>
      <c r="F25" s="288"/>
      <c r="G25" s="288"/>
      <c r="H25" s="166"/>
      <c r="I25" s="363"/>
      <c r="J25" s="288"/>
      <c r="K25" s="288"/>
      <c r="L25" s="166"/>
      <c r="M25" s="23"/>
    </row>
    <row r="26" spans="1:14" ht="15.75" x14ac:dyDescent="0.2">
      <c r="A26" s="551" t="s">
        <v>377</v>
      </c>
      <c r="B26" s="279"/>
      <c r="C26" s="279"/>
      <c r="D26" s="166"/>
      <c r="E26" s="11"/>
      <c r="F26" s="288"/>
      <c r="G26" s="288"/>
      <c r="H26" s="166"/>
      <c r="I26" s="363"/>
      <c r="J26" s="288"/>
      <c r="K26" s="288"/>
      <c r="L26" s="166"/>
      <c r="M26" s="23"/>
    </row>
    <row r="27" spans="1:14" x14ac:dyDescent="0.2">
      <c r="A27" s="551" t="s">
        <v>11</v>
      </c>
      <c r="B27" s="279"/>
      <c r="C27" s="279"/>
      <c r="D27" s="166"/>
      <c r="E27" s="11"/>
      <c r="F27" s="288"/>
      <c r="G27" s="288"/>
      <c r="H27" s="166"/>
      <c r="I27" s="363"/>
      <c r="J27" s="288"/>
      <c r="K27" s="288"/>
      <c r="L27" s="166"/>
      <c r="M27" s="23"/>
    </row>
    <row r="28" spans="1:14" ht="15.75" x14ac:dyDescent="0.2">
      <c r="A28" s="49" t="s">
        <v>282</v>
      </c>
      <c r="B28" s="44"/>
      <c r="C28" s="285"/>
      <c r="D28" s="166"/>
      <c r="E28" s="11"/>
      <c r="F28" s="232"/>
      <c r="G28" s="285"/>
      <c r="H28" s="166"/>
      <c r="I28" s="27"/>
      <c r="J28" s="44"/>
      <c r="K28" s="44"/>
      <c r="L28" s="252"/>
      <c r="M28" s="23"/>
    </row>
    <row r="29" spans="1:14" s="3" customFormat="1" ht="15.75" x14ac:dyDescent="0.2">
      <c r="A29" s="13" t="s">
        <v>371</v>
      </c>
      <c r="B29" s="234"/>
      <c r="C29" s="234"/>
      <c r="D29" s="171"/>
      <c r="E29" s="11"/>
      <c r="F29" s="306"/>
      <c r="G29" s="306"/>
      <c r="H29" s="171"/>
      <c r="I29" s="11"/>
      <c r="J29" s="234"/>
      <c r="K29" s="234"/>
      <c r="L29" s="371"/>
      <c r="M29" s="24"/>
      <c r="N29" s="148"/>
    </row>
    <row r="30" spans="1:14" s="3" customFormat="1" ht="15.75" x14ac:dyDescent="0.2">
      <c r="A30" s="551" t="s">
        <v>374</v>
      </c>
      <c r="B30" s="279"/>
      <c r="C30" s="279"/>
      <c r="D30" s="166"/>
      <c r="E30" s="11"/>
      <c r="F30" s="288"/>
      <c r="G30" s="288"/>
      <c r="H30" s="166"/>
      <c r="I30" s="363"/>
      <c r="J30" s="288"/>
      <c r="K30" s="288"/>
      <c r="L30" s="166"/>
      <c r="M30" s="23"/>
      <c r="N30" s="148"/>
    </row>
    <row r="31" spans="1:14" s="3" customFormat="1" ht="15.75" x14ac:dyDescent="0.2">
      <c r="A31" s="551" t="s">
        <v>375</v>
      </c>
      <c r="B31" s="279"/>
      <c r="C31" s="279"/>
      <c r="D31" s="166"/>
      <c r="E31" s="11"/>
      <c r="F31" s="288"/>
      <c r="G31" s="288"/>
      <c r="H31" s="166"/>
      <c r="I31" s="363"/>
      <c r="J31" s="288"/>
      <c r="K31" s="288"/>
      <c r="L31" s="166"/>
      <c r="M31" s="23"/>
      <c r="N31" s="148"/>
    </row>
    <row r="32" spans="1:14" ht="15.75" x14ac:dyDescent="0.2">
      <c r="A32" s="551" t="s">
        <v>376</v>
      </c>
      <c r="B32" s="279"/>
      <c r="C32" s="279"/>
      <c r="D32" s="166"/>
      <c r="E32" s="11"/>
      <c r="F32" s="288"/>
      <c r="G32" s="288"/>
      <c r="H32" s="166"/>
      <c r="I32" s="363"/>
      <c r="J32" s="288"/>
      <c r="K32" s="288"/>
      <c r="L32" s="166"/>
      <c r="M32" s="23"/>
    </row>
    <row r="33" spans="1:14" ht="15.75" x14ac:dyDescent="0.2">
      <c r="A33" s="551" t="s">
        <v>377</v>
      </c>
      <c r="B33" s="279"/>
      <c r="C33" s="279"/>
      <c r="D33" s="166"/>
      <c r="E33" s="11"/>
      <c r="F33" s="288"/>
      <c r="G33" s="288"/>
      <c r="H33" s="166"/>
      <c r="I33" s="363"/>
      <c r="J33" s="288"/>
      <c r="K33" s="288"/>
      <c r="L33" s="166"/>
      <c r="M33" s="23"/>
    </row>
    <row r="34" spans="1:14" ht="15.75" x14ac:dyDescent="0.2">
      <c r="A34" s="13" t="s">
        <v>372</v>
      </c>
      <c r="B34" s="234"/>
      <c r="C34" s="307"/>
      <c r="D34" s="171"/>
      <c r="E34" s="11"/>
      <c r="F34" s="306"/>
      <c r="G34" s="307"/>
      <c r="H34" s="171"/>
      <c r="I34" s="11"/>
      <c r="J34" s="234"/>
      <c r="K34" s="234"/>
      <c r="L34" s="371"/>
      <c r="M34" s="24"/>
    </row>
    <row r="35" spans="1:14" ht="15.75" x14ac:dyDescent="0.2">
      <c r="A35" s="13" t="s">
        <v>373</v>
      </c>
      <c r="B35" s="234"/>
      <c r="C35" s="307"/>
      <c r="D35" s="171"/>
      <c r="E35" s="11"/>
      <c r="F35" s="306"/>
      <c r="G35" s="307"/>
      <c r="H35" s="171"/>
      <c r="I35" s="11"/>
      <c r="J35" s="234"/>
      <c r="K35" s="234"/>
      <c r="L35" s="371"/>
      <c r="M35" s="24"/>
    </row>
    <row r="36" spans="1:14" ht="15.75" x14ac:dyDescent="0.2">
      <c r="A36" s="12" t="s">
        <v>290</v>
      </c>
      <c r="B36" s="234"/>
      <c r="C36" s="307"/>
      <c r="D36" s="171"/>
      <c r="E36" s="11"/>
      <c r="F36" s="317"/>
      <c r="G36" s="318"/>
      <c r="H36" s="171"/>
      <c r="I36" s="377"/>
      <c r="J36" s="234"/>
      <c r="K36" s="234"/>
      <c r="L36" s="371"/>
      <c r="M36" s="24"/>
    </row>
    <row r="37" spans="1:14" ht="15.75" x14ac:dyDescent="0.2">
      <c r="A37" s="12" t="s">
        <v>379</v>
      </c>
      <c r="B37" s="234"/>
      <c r="C37" s="307"/>
      <c r="D37" s="171"/>
      <c r="E37" s="11"/>
      <c r="F37" s="317"/>
      <c r="G37" s="319"/>
      <c r="H37" s="171"/>
      <c r="I37" s="377"/>
      <c r="J37" s="234"/>
      <c r="K37" s="234"/>
      <c r="L37" s="371"/>
      <c r="M37" s="24"/>
    </row>
    <row r="38" spans="1:14" ht="15.75" x14ac:dyDescent="0.2">
      <c r="A38" s="12" t="s">
        <v>380</v>
      </c>
      <c r="B38" s="234"/>
      <c r="C38" s="307"/>
      <c r="D38" s="171"/>
      <c r="E38" s="24"/>
      <c r="F38" s="317"/>
      <c r="G38" s="318"/>
      <c r="H38" s="171"/>
      <c r="I38" s="377"/>
      <c r="J38" s="234"/>
      <c r="K38" s="234"/>
      <c r="L38" s="371"/>
      <c r="M38" s="24"/>
    </row>
    <row r="39" spans="1:14" ht="15.75" x14ac:dyDescent="0.2">
      <c r="A39" s="18" t="s">
        <v>381</v>
      </c>
      <c r="B39" s="274"/>
      <c r="C39" s="313"/>
      <c r="D39" s="169"/>
      <c r="E39" s="36"/>
      <c r="F39" s="320"/>
      <c r="G39" s="321"/>
      <c r="H39" s="169"/>
      <c r="I39" s="36"/>
      <c r="J39" s="234"/>
      <c r="K39" s="234"/>
      <c r="L39" s="372"/>
      <c r="M39" s="36"/>
    </row>
    <row r="40" spans="1:14" ht="15.75" x14ac:dyDescent="0.25">
      <c r="A40" s="47"/>
      <c r="B40" s="251"/>
      <c r="C40" s="251"/>
      <c r="D40" s="699"/>
      <c r="E40" s="699"/>
      <c r="F40" s="699"/>
      <c r="G40" s="699"/>
      <c r="H40" s="699"/>
      <c r="I40" s="699"/>
      <c r="J40" s="699"/>
      <c r="K40" s="699"/>
      <c r="L40" s="699"/>
      <c r="M40" s="300"/>
    </row>
    <row r="41" spans="1:14" x14ac:dyDescent="0.2">
      <c r="A41" s="155"/>
    </row>
    <row r="42" spans="1:14" ht="15.75" x14ac:dyDescent="0.25">
      <c r="A42" s="147" t="s">
        <v>279</v>
      </c>
      <c r="B42" s="700"/>
      <c r="C42" s="700"/>
      <c r="D42" s="700"/>
      <c r="E42" s="297"/>
      <c r="F42" s="701"/>
      <c r="G42" s="701"/>
      <c r="H42" s="701"/>
      <c r="I42" s="300"/>
      <c r="J42" s="701"/>
      <c r="K42" s="701"/>
      <c r="L42" s="701"/>
      <c r="M42" s="300"/>
    </row>
    <row r="43" spans="1:14" ht="15.75" x14ac:dyDescent="0.25">
      <c r="A43" s="163"/>
      <c r="B43" s="301"/>
      <c r="C43" s="301"/>
      <c r="D43" s="301"/>
      <c r="E43" s="301"/>
      <c r="F43" s="300"/>
      <c r="G43" s="300"/>
      <c r="H43" s="300"/>
      <c r="I43" s="300"/>
      <c r="J43" s="300"/>
      <c r="K43" s="300"/>
      <c r="L43" s="300"/>
      <c r="M43" s="300"/>
    </row>
    <row r="44" spans="1:14" ht="15.75" x14ac:dyDescent="0.25">
      <c r="A44" s="245"/>
      <c r="B44" s="696" t="s">
        <v>0</v>
      </c>
      <c r="C44" s="697"/>
      <c r="D44" s="697"/>
      <c r="E44" s="241"/>
      <c r="F44" s="300"/>
      <c r="G44" s="300"/>
      <c r="H44" s="300"/>
      <c r="I44" s="300"/>
      <c r="J44" s="300"/>
      <c r="K44" s="300"/>
      <c r="L44" s="300"/>
      <c r="M44" s="300"/>
    </row>
    <row r="45" spans="1:14" s="3" customFormat="1" x14ac:dyDescent="0.2">
      <c r="A45" s="140"/>
      <c r="B45" s="152" t="s">
        <v>422</v>
      </c>
      <c r="C45" s="152" t="s">
        <v>423</v>
      </c>
      <c r="D45" s="162" t="s">
        <v>3</v>
      </c>
      <c r="E45" s="162" t="s">
        <v>29</v>
      </c>
      <c r="F45" s="174"/>
      <c r="G45" s="174"/>
      <c r="H45" s="173"/>
      <c r="I45" s="173"/>
      <c r="J45" s="174"/>
      <c r="K45" s="174"/>
      <c r="L45" s="173"/>
      <c r="M45" s="173"/>
      <c r="N45" s="148"/>
    </row>
    <row r="46" spans="1:14" s="3" customFormat="1" x14ac:dyDescent="0.2">
      <c r="A46" s="666"/>
      <c r="B46" s="242"/>
      <c r="C46" s="242"/>
      <c r="D46" s="243" t="s">
        <v>4</v>
      </c>
      <c r="E46" s="156" t="s">
        <v>30</v>
      </c>
      <c r="F46" s="173"/>
      <c r="G46" s="173"/>
      <c r="H46" s="173"/>
      <c r="I46" s="173"/>
      <c r="J46" s="173"/>
      <c r="K46" s="173"/>
      <c r="L46" s="173"/>
      <c r="M46" s="173"/>
      <c r="N46" s="148"/>
    </row>
    <row r="47" spans="1:14" s="3" customFormat="1" ht="15.75" x14ac:dyDescent="0.2">
      <c r="A47" s="14" t="s">
        <v>23</v>
      </c>
      <c r="B47" s="308">
        <v>5092</v>
      </c>
      <c r="C47" s="309">
        <v>1977</v>
      </c>
      <c r="D47" s="370">
        <f t="shared" ref="D47:D57" si="0">IF(B47=0, "    ---- ", IF(ABS(ROUND(100/B47*C47-100,1))&lt;999,ROUND(100/B47*C47-100,1),IF(ROUND(100/B47*C47-100,1)&gt;999,999,-999)))</f>
        <v>-61.2</v>
      </c>
      <c r="E47" s="11">
        <f>IFERROR(100/'Skjema total MA'!C47*C47,0)</f>
        <v>6.1235772709794016E-2</v>
      </c>
      <c r="F47" s="145"/>
      <c r="G47" s="33"/>
      <c r="H47" s="159"/>
      <c r="I47" s="159"/>
      <c r="J47" s="37"/>
      <c r="K47" s="37"/>
      <c r="L47" s="159"/>
      <c r="M47" s="159"/>
      <c r="N47" s="148"/>
    </row>
    <row r="48" spans="1:14" s="3" customFormat="1" ht="15.75" x14ac:dyDescent="0.2">
      <c r="A48" s="38" t="s">
        <v>382</v>
      </c>
      <c r="B48" s="279">
        <v>5092</v>
      </c>
      <c r="C48" s="280">
        <v>1977</v>
      </c>
      <c r="D48" s="252">
        <f t="shared" si="0"/>
        <v>-61.2</v>
      </c>
      <c r="E48" s="27">
        <f>IFERROR(100/'Skjema total MA'!C48*C48,0)</f>
        <v>0.1088046132733087</v>
      </c>
      <c r="F48" s="145"/>
      <c r="G48" s="33"/>
      <c r="H48" s="145"/>
      <c r="I48" s="145"/>
      <c r="J48" s="33"/>
      <c r="K48" s="33"/>
      <c r="L48" s="159"/>
      <c r="M48" s="159"/>
      <c r="N48" s="148"/>
    </row>
    <row r="49" spans="1:14" s="3" customFormat="1" ht="15.75" x14ac:dyDescent="0.2">
      <c r="A49" s="38" t="s">
        <v>383</v>
      </c>
      <c r="B49" s="44"/>
      <c r="C49" s="285"/>
      <c r="D49" s="252"/>
      <c r="E49" s="27"/>
      <c r="F49" s="145"/>
      <c r="G49" s="33"/>
      <c r="H49" s="145"/>
      <c r="I49" s="145"/>
      <c r="J49" s="37"/>
      <c r="K49" s="37"/>
      <c r="L49" s="159"/>
      <c r="M49" s="159"/>
      <c r="N49" s="148"/>
    </row>
    <row r="50" spans="1:14" s="3" customFormat="1" x14ac:dyDescent="0.2">
      <c r="A50" s="294" t="s">
        <v>6</v>
      </c>
      <c r="B50" s="288"/>
      <c r="C50" s="289"/>
      <c r="D50" s="252"/>
      <c r="E50" s="23"/>
      <c r="F50" s="145"/>
      <c r="G50" s="33"/>
      <c r="H50" s="145"/>
      <c r="I50" s="145"/>
      <c r="J50" s="33"/>
      <c r="K50" s="33"/>
      <c r="L50" s="159"/>
      <c r="M50" s="159"/>
      <c r="N50" s="148"/>
    </row>
    <row r="51" spans="1:14" s="3" customFormat="1" x14ac:dyDescent="0.2">
      <c r="A51" s="294" t="s">
        <v>7</v>
      </c>
      <c r="B51" s="288"/>
      <c r="C51" s="289"/>
      <c r="D51" s="252"/>
      <c r="E51" s="23"/>
      <c r="F51" s="145"/>
      <c r="G51" s="33"/>
      <c r="H51" s="145"/>
      <c r="I51" s="145"/>
      <c r="J51" s="33"/>
      <c r="K51" s="33"/>
      <c r="L51" s="159"/>
      <c r="M51" s="159"/>
      <c r="N51" s="148"/>
    </row>
    <row r="52" spans="1:14" s="3" customFormat="1" x14ac:dyDescent="0.2">
      <c r="A52" s="294" t="s">
        <v>8</v>
      </c>
      <c r="B52" s="288"/>
      <c r="C52" s="289"/>
      <c r="D52" s="252"/>
      <c r="E52" s="23"/>
      <c r="F52" s="145"/>
      <c r="G52" s="33"/>
      <c r="H52" s="145"/>
      <c r="I52" s="145"/>
      <c r="J52" s="33"/>
      <c r="K52" s="33"/>
      <c r="L52" s="159"/>
      <c r="M52" s="159"/>
      <c r="N52" s="148"/>
    </row>
    <row r="53" spans="1:14" s="3" customFormat="1" ht="15.75" x14ac:dyDescent="0.2">
      <c r="A53" s="39" t="s">
        <v>384</v>
      </c>
      <c r="B53" s="308">
        <v>1869.0029999999999</v>
      </c>
      <c r="C53" s="309">
        <v>0</v>
      </c>
      <c r="D53" s="371">
        <f t="shared" si="0"/>
        <v>-100</v>
      </c>
      <c r="E53" s="11">
        <f>IFERROR(100/'Skjema total MA'!C53*C53,0)</f>
        <v>0</v>
      </c>
      <c r="F53" s="145"/>
      <c r="G53" s="33"/>
      <c r="H53" s="145"/>
      <c r="I53" s="145"/>
      <c r="J53" s="33"/>
      <c r="K53" s="33"/>
      <c r="L53" s="159"/>
      <c r="M53" s="159"/>
      <c r="N53" s="148"/>
    </row>
    <row r="54" spans="1:14" s="3" customFormat="1" ht="15.75" x14ac:dyDescent="0.2">
      <c r="A54" s="38" t="s">
        <v>382</v>
      </c>
      <c r="B54" s="279">
        <v>1869.0029999999999</v>
      </c>
      <c r="C54" s="280">
        <v>0</v>
      </c>
      <c r="D54" s="252">
        <f t="shared" si="0"/>
        <v>-100</v>
      </c>
      <c r="E54" s="27">
        <f>IFERROR(100/'Skjema total MA'!C54*C54,0)</f>
        <v>0</v>
      </c>
      <c r="F54" s="145"/>
      <c r="G54" s="33"/>
      <c r="H54" s="145"/>
      <c r="I54" s="145"/>
      <c r="J54" s="33"/>
      <c r="K54" s="33"/>
      <c r="L54" s="159"/>
      <c r="M54" s="159"/>
      <c r="N54" s="148"/>
    </row>
    <row r="55" spans="1:14" s="3" customFormat="1" ht="15.75" x14ac:dyDescent="0.2">
      <c r="A55" s="38" t="s">
        <v>383</v>
      </c>
      <c r="B55" s="279"/>
      <c r="C55" s="280"/>
      <c r="D55" s="252"/>
      <c r="E55" s="27"/>
      <c r="F55" s="145"/>
      <c r="G55" s="33"/>
      <c r="H55" s="145"/>
      <c r="I55" s="145"/>
      <c r="J55" s="33"/>
      <c r="K55" s="33"/>
      <c r="L55" s="159"/>
      <c r="M55" s="159"/>
      <c r="N55" s="148"/>
    </row>
    <row r="56" spans="1:14" s="3" customFormat="1" ht="15.75" x14ac:dyDescent="0.2">
      <c r="A56" s="39" t="s">
        <v>385</v>
      </c>
      <c r="B56" s="308">
        <v>325</v>
      </c>
      <c r="C56" s="309">
        <v>0</v>
      </c>
      <c r="D56" s="371">
        <f t="shared" si="0"/>
        <v>-100</v>
      </c>
      <c r="E56" s="11">
        <f>IFERROR(100/'Skjema total MA'!C56*C56,0)</f>
        <v>0</v>
      </c>
      <c r="F56" s="145"/>
      <c r="G56" s="33"/>
      <c r="H56" s="145"/>
      <c r="I56" s="145"/>
      <c r="J56" s="33"/>
      <c r="K56" s="33"/>
      <c r="L56" s="159"/>
      <c r="M56" s="159"/>
      <c r="N56" s="148"/>
    </row>
    <row r="57" spans="1:14" s="3" customFormat="1" ht="15.75" x14ac:dyDescent="0.2">
      <c r="A57" s="38" t="s">
        <v>382</v>
      </c>
      <c r="B57" s="279">
        <v>325</v>
      </c>
      <c r="C57" s="280">
        <v>0</v>
      </c>
      <c r="D57" s="252">
        <f t="shared" si="0"/>
        <v>-100</v>
      </c>
      <c r="E57" s="27">
        <f>IFERROR(100/'Skjema total MA'!C57*C57,0)</f>
        <v>0</v>
      </c>
      <c r="F57" s="145"/>
      <c r="G57" s="33"/>
      <c r="H57" s="145"/>
      <c r="I57" s="145"/>
      <c r="J57" s="33"/>
      <c r="K57" s="33"/>
      <c r="L57" s="159"/>
      <c r="M57" s="159"/>
      <c r="N57" s="148"/>
    </row>
    <row r="58" spans="1:14" s="3" customFormat="1" ht="15.75" x14ac:dyDescent="0.2">
      <c r="A58" s="46" t="s">
        <v>383</v>
      </c>
      <c r="B58" s="281"/>
      <c r="C58" s="282"/>
      <c r="D58" s="253"/>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95"/>
      <c r="C62" s="695"/>
      <c r="D62" s="695"/>
      <c r="E62" s="297"/>
      <c r="F62" s="695"/>
      <c r="G62" s="695"/>
      <c r="H62" s="695"/>
      <c r="I62" s="297"/>
      <c r="J62" s="695"/>
      <c r="K62" s="695"/>
      <c r="L62" s="695"/>
      <c r="M62" s="297"/>
    </row>
    <row r="63" spans="1:14" x14ac:dyDescent="0.2">
      <c r="A63" s="144"/>
      <c r="B63" s="696" t="s">
        <v>0</v>
      </c>
      <c r="C63" s="697"/>
      <c r="D63" s="698"/>
      <c r="E63" s="298"/>
      <c r="F63" s="697" t="s">
        <v>1</v>
      </c>
      <c r="G63" s="697"/>
      <c r="H63" s="697"/>
      <c r="I63" s="302"/>
      <c r="J63" s="696" t="s">
        <v>2</v>
      </c>
      <c r="K63" s="697"/>
      <c r="L63" s="697"/>
      <c r="M63" s="302"/>
    </row>
    <row r="64" spans="1:14" x14ac:dyDescent="0.2">
      <c r="A64" s="140"/>
      <c r="B64" s="152" t="s">
        <v>422</v>
      </c>
      <c r="C64" s="152" t="s">
        <v>423</v>
      </c>
      <c r="D64" s="243" t="s">
        <v>3</v>
      </c>
      <c r="E64" s="303" t="s">
        <v>29</v>
      </c>
      <c r="F64" s="152" t="s">
        <v>422</v>
      </c>
      <c r="G64" s="152" t="s">
        <v>423</v>
      </c>
      <c r="H64" s="243" t="s">
        <v>3</v>
      </c>
      <c r="I64" s="303" t="s">
        <v>29</v>
      </c>
      <c r="J64" s="152" t="s">
        <v>422</v>
      </c>
      <c r="K64" s="152" t="s">
        <v>423</v>
      </c>
      <c r="L64" s="243" t="s">
        <v>3</v>
      </c>
      <c r="M64" s="162" t="s">
        <v>29</v>
      </c>
    </row>
    <row r="65" spans="1:14" x14ac:dyDescent="0.2">
      <c r="A65" s="666"/>
      <c r="B65" s="156"/>
      <c r="C65" s="156"/>
      <c r="D65" s="244" t="s">
        <v>4</v>
      </c>
      <c r="E65" s="156" t="s">
        <v>30</v>
      </c>
      <c r="F65" s="161"/>
      <c r="G65" s="161"/>
      <c r="H65" s="243" t="s">
        <v>4</v>
      </c>
      <c r="I65" s="156" t="s">
        <v>30</v>
      </c>
      <c r="J65" s="161"/>
      <c r="K65" s="205"/>
      <c r="L65" s="156" t="s">
        <v>4</v>
      </c>
      <c r="M65" s="156" t="s">
        <v>30</v>
      </c>
    </row>
    <row r="66" spans="1:14" ht="15.75" x14ac:dyDescent="0.2">
      <c r="A66" s="14" t="s">
        <v>23</v>
      </c>
      <c r="B66" s="350"/>
      <c r="C66" s="350"/>
      <c r="D66" s="347"/>
      <c r="E66" s="11"/>
      <c r="F66" s="349"/>
      <c r="G66" s="349"/>
      <c r="H66" s="347"/>
      <c r="I66" s="11"/>
      <c r="J66" s="307"/>
      <c r="K66" s="314"/>
      <c r="L66" s="371"/>
      <c r="M66" s="11"/>
    </row>
    <row r="67" spans="1:14" x14ac:dyDescent="0.2">
      <c r="A67" s="365" t="s">
        <v>9</v>
      </c>
      <c r="B67" s="44"/>
      <c r="C67" s="145"/>
      <c r="D67" s="166"/>
      <c r="E67" s="27"/>
      <c r="F67" s="232"/>
      <c r="G67" s="145"/>
      <c r="H67" s="166"/>
      <c r="I67" s="27"/>
      <c r="J67" s="285"/>
      <c r="K67" s="44"/>
      <c r="L67" s="252"/>
      <c r="M67" s="27"/>
    </row>
    <row r="68" spans="1:14" x14ac:dyDescent="0.2">
      <c r="A68" s="21" t="s">
        <v>10</v>
      </c>
      <c r="B68" s="290"/>
      <c r="C68" s="291"/>
      <c r="D68" s="166"/>
      <c r="E68" s="27"/>
      <c r="F68" s="290"/>
      <c r="G68" s="291"/>
      <c r="H68" s="166"/>
      <c r="I68" s="27"/>
      <c r="J68" s="285"/>
      <c r="K68" s="44"/>
      <c r="L68" s="252"/>
      <c r="M68" s="27"/>
    </row>
    <row r="69" spans="1:14" ht="15.75" x14ac:dyDescent="0.2">
      <c r="A69" s="294" t="s">
        <v>386</v>
      </c>
      <c r="B69" s="279"/>
      <c r="C69" s="279"/>
      <c r="D69" s="166"/>
      <c r="E69" s="363"/>
      <c r="F69" s="279"/>
      <c r="G69" s="279"/>
      <c r="H69" s="166"/>
      <c r="I69" s="363"/>
      <c r="J69" s="288"/>
      <c r="K69" s="288"/>
      <c r="L69" s="166"/>
      <c r="M69" s="23"/>
    </row>
    <row r="70" spans="1:14" x14ac:dyDescent="0.2">
      <c r="A70" s="294" t="s">
        <v>12</v>
      </c>
      <c r="B70" s="292"/>
      <c r="C70" s="293"/>
      <c r="D70" s="166"/>
      <c r="E70" s="363"/>
      <c r="F70" s="279"/>
      <c r="G70" s="279"/>
      <c r="H70" s="166"/>
      <c r="I70" s="363"/>
      <c r="J70" s="288"/>
      <c r="K70" s="288"/>
      <c r="L70" s="166"/>
      <c r="M70" s="23"/>
    </row>
    <row r="71" spans="1:14" x14ac:dyDescent="0.2">
      <c r="A71" s="294" t="s">
        <v>13</v>
      </c>
      <c r="B71" s="233"/>
      <c r="C71" s="287"/>
      <c r="D71" s="166"/>
      <c r="E71" s="363"/>
      <c r="F71" s="279"/>
      <c r="G71" s="279"/>
      <c r="H71" s="166"/>
      <c r="I71" s="363"/>
      <c r="J71" s="288"/>
      <c r="K71" s="288"/>
      <c r="L71" s="166"/>
      <c r="M71" s="23"/>
    </row>
    <row r="72" spans="1:14" ht="15.75" x14ac:dyDescent="0.2">
      <c r="A72" s="294" t="s">
        <v>387</v>
      </c>
      <c r="B72" s="279"/>
      <c r="C72" s="279"/>
      <c r="D72" s="166"/>
      <c r="E72" s="363"/>
      <c r="F72" s="279"/>
      <c r="G72" s="279"/>
      <c r="H72" s="166"/>
      <c r="I72" s="363"/>
      <c r="J72" s="288"/>
      <c r="K72" s="288"/>
      <c r="L72" s="166"/>
      <c r="M72" s="23"/>
    </row>
    <row r="73" spans="1:14" x14ac:dyDescent="0.2">
      <c r="A73" s="294" t="s">
        <v>12</v>
      </c>
      <c r="B73" s="233"/>
      <c r="C73" s="287"/>
      <c r="D73" s="166"/>
      <c r="E73" s="363"/>
      <c r="F73" s="279"/>
      <c r="G73" s="279"/>
      <c r="H73" s="166"/>
      <c r="I73" s="363"/>
      <c r="J73" s="288"/>
      <c r="K73" s="288"/>
      <c r="L73" s="166"/>
      <c r="M73" s="23"/>
    </row>
    <row r="74" spans="1:14" s="3" customFormat="1" x14ac:dyDescent="0.2">
      <c r="A74" s="294" t="s">
        <v>13</v>
      </c>
      <c r="B74" s="233"/>
      <c r="C74" s="287"/>
      <c r="D74" s="166"/>
      <c r="E74" s="363"/>
      <c r="F74" s="279"/>
      <c r="G74" s="279"/>
      <c r="H74" s="166"/>
      <c r="I74" s="363"/>
      <c r="J74" s="288"/>
      <c r="K74" s="288"/>
      <c r="L74" s="166"/>
      <c r="M74" s="23"/>
      <c r="N74" s="148"/>
    </row>
    <row r="75" spans="1:14" s="3" customFormat="1" x14ac:dyDescent="0.2">
      <c r="A75" s="21" t="s">
        <v>356</v>
      </c>
      <c r="B75" s="232"/>
      <c r="C75" s="145"/>
      <c r="D75" s="166"/>
      <c r="E75" s="27"/>
      <c r="F75" s="232"/>
      <c r="G75" s="145"/>
      <c r="H75" s="166"/>
      <c r="I75" s="27"/>
      <c r="J75" s="285"/>
      <c r="K75" s="44"/>
      <c r="L75" s="252"/>
      <c r="M75" s="27"/>
      <c r="N75" s="148"/>
    </row>
    <row r="76" spans="1:14" s="3" customFormat="1" x14ac:dyDescent="0.2">
      <c r="A76" s="21" t="s">
        <v>355</v>
      </c>
      <c r="B76" s="232"/>
      <c r="C76" s="145"/>
      <c r="D76" s="166"/>
      <c r="E76" s="27"/>
      <c r="F76" s="232"/>
      <c r="G76" s="145"/>
      <c r="H76" s="166"/>
      <c r="I76" s="27"/>
      <c r="J76" s="285"/>
      <c r="K76" s="44"/>
      <c r="L76" s="252"/>
      <c r="M76" s="27"/>
      <c r="N76" s="148"/>
    </row>
    <row r="77" spans="1:14" ht="15.75" x14ac:dyDescent="0.2">
      <c r="A77" s="21" t="s">
        <v>388</v>
      </c>
      <c r="B77" s="232"/>
      <c r="C77" s="232"/>
      <c r="D77" s="166"/>
      <c r="E77" s="27"/>
      <c r="F77" s="232"/>
      <c r="G77" s="145"/>
      <c r="H77" s="166"/>
      <c r="I77" s="27"/>
      <c r="J77" s="285"/>
      <c r="K77" s="44"/>
      <c r="L77" s="252"/>
      <c r="M77" s="27"/>
    </row>
    <row r="78" spans="1:14" x14ac:dyDescent="0.2">
      <c r="A78" s="21" t="s">
        <v>9</v>
      </c>
      <c r="B78" s="232"/>
      <c r="C78" s="145"/>
      <c r="D78" s="166"/>
      <c r="E78" s="27"/>
      <c r="F78" s="232"/>
      <c r="G78" s="145"/>
      <c r="H78" s="166"/>
      <c r="I78" s="27"/>
      <c r="J78" s="285"/>
      <c r="K78" s="44"/>
      <c r="L78" s="252"/>
      <c r="M78" s="27"/>
    </row>
    <row r="79" spans="1:14" x14ac:dyDescent="0.2">
      <c r="A79" s="21" t="s">
        <v>10</v>
      </c>
      <c r="B79" s="290"/>
      <c r="C79" s="291"/>
      <c r="D79" s="166"/>
      <c r="E79" s="27"/>
      <c r="F79" s="290"/>
      <c r="G79" s="291"/>
      <c r="H79" s="166"/>
      <c r="I79" s="27"/>
      <c r="J79" s="285"/>
      <c r="K79" s="44"/>
      <c r="L79" s="252"/>
      <c r="M79" s="27"/>
    </row>
    <row r="80" spans="1:14" ht="15.75" x14ac:dyDescent="0.2">
      <c r="A80" s="294" t="s">
        <v>386</v>
      </c>
      <c r="B80" s="279"/>
      <c r="C80" s="279"/>
      <c r="D80" s="166"/>
      <c r="E80" s="363"/>
      <c r="F80" s="279"/>
      <c r="G80" s="279"/>
      <c r="H80" s="166"/>
      <c r="I80" s="363"/>
      <c r="J80" s="288"/>
      <c r="K80" s="288"/>
      <c r="L80" s="166"/>
      <c r="M80" s="23"/>
    </row>
    <row r="81" spans="1:13" x14ac:dyDescent="0.2">
      <c r="A81" s="294" t="s">
        <v>12</v>
      </c>
      <c r="B81" s="233"/>
      <c r="C81" s="287"/>
      <c r="D81" s="166"/>
      <c r="E81" s="363"/>
      <c r="F81" s="279"/>
      <c r="G81" s="279"/>
      <c r="H81" s="166"/>
      <c r="I81" s="363"/>
      <c r="J81" s="288"/>
      <c r="K81" s="288"/>
      <c r="L81" s="166"/>
      <c r="M81" s="23"/>
    </row>
    <row r="82" spans="1:13" x14ac:dyDescent="0.2">
      <c r="A82" s="294" t="s">
        <v>13</v>
      </c>
      <c r="B82" s="233"/>
      <c r="C82" s="287"/>
      <c r="D82" s="166"/>
      <c r="E82" s="363"/>
      <c r="F82" s="279"/>
      <c r="G82" s="279"/>
      <c r="H82" s="166"/>
      <c r="I82" s="363"/>
      <c r="J82" s="288"/>
      <c r="K82" s="288"/>
      <c r="L82" s="166"/>
      <c r="M82" s="23"/>
    </row>
    <row r="83" spans="1:13" ht="15.75" x14ac:dyDescent="0.2">
      <c r="A83" s="294" t="s">
        <v>387</v>
      </c>
      <c r="B83" s="279"/>
      <c r="C83" s="279"/>
      <c r="D83" s="166"/>
      <c r="E83" s="363"/>
      <c r="F83" s="279"/>
      <c r="G83" s="279"/>
      <c r="H83" s="166"/>
      <c r="I83" s="363"/>
      <c r="J83" s="288"/>
      <c r="K83" s="288"/>
      <c r="L83" s="166"/>
      <c r="M83" s="23"/>
    </row>
    <row r="84" spans="1:13" x14ac:dyDescent="0.2">
      <c r="A84" s="294" t="s">
        <v>12</v>
      </c>
      <c r="B84" s="233"/>
      <c r="C84" s="287"/>
      <c r="D84" s="166"/>
      <c r="E84" s="363"/>
      <c r="F84" s="279"/>
      <c r="G84" s="279"/>
      <c r="H84" s="166"/>
      <c r="I84" s="363"/>
      <c r="J84" s="288"/>
      <c r="K84" s="288"/>
      <c r="L84" s="166"/>
      <c r="M84" s="23"/>
    </row>
    <row r="85" spans="1:13" x14ac:dyDescent="0.2">
      <c r="A85" s="294" t="s">
        <v>13</v>
      </c>
      <c r="B85" s="233"/>
      <c r="C85" s="287"/>
      <c r="D85" s="166"/>
      <c r="E85" s="363"/>
      <c r="F85" s="279"/>
      <c r="G85" s="279"/>
      <c r="H85" s="166"/>
      <c r="I85" s="363"/>
      <c r="J85" s="288"/>
      <c r="K85" s="288"/>
      <c r="L85" s="166"/>
      <c r="M85" s="23"/>
    </row>
    <row r="86" spans="1:13" ht="15.75" x14ac:dyDescent="0.2">
      <c r="A86" s="21" t="s">
        <v>389</v>
      </c>
      <c r="B86" s="232"/>
      <c r="C86" s="145"/>
      <c r="D86" s="166"/>
      <c r="E86" s="27"/>
      <c r="F86" s="232"/>
      <c r="G86" s="145"/>
      <c r="H86" s="166"/>
      <c r="I86" s="27"/>
      <c r="J86" s="285"/>
      <c r="K86" s="44"/>
      <c r="L86" s="252"/>
      <c r="M86" s="27"/>
    </row>
    <row r="87" spans="1:13" ht="15.75" x14ac:dyDescent="0.2">
      <c r="A87" s="13" t="s">
        <v>371</v>
      </c>
      <c r="B87" s="350"/>
      <c r="C87" s="350"/>
      <c r="D87" s="171"/>
      <c r="E87" s="11"/>
      <c r="F87" s="349"/>
      <c r="G87" s="349"/>
      <c r="H87" s="171"/>
      <c r="I87" s="11"/>
      <c r="J87" s="307"/>
      <c r="K87" s="234"/>
      <c r="L87" s="371"/>
      <c r="M87" s="11"/>
    </row>
    <row r="88" spans="1:13" x14ac:dyDescent="0.2">
      <c r="A88" s="21" t="s">
        <v>9</v>
      </c>
      <c r="B88" s="232"/>
      <c r="C88" s="145"/>
      <c r="D88" s="166"/>
      <c r="E88" s="27"/>
      <c r="F88" s="232"/>
      <c r="G88" s="145"/>
      <c r="H88" s="166"/>
      <c r="I88" s="27"/>
      <c r="J88" s="285"/>
      <c r="K88" s="44"/>
      <c r="L88" s="252"/>
      <c r="M88" s="27"/>
    </row>
    <row r="89" spans="1:13" x14ac:dyDescent="0.2">
      <c r="A89" s="21" t="s">
        <v>10</v>
      </c>
      <c r="B89" s="232"/>
      <c r="C89" s="145"/>
      <c r="D89" s="166"/>
      <c r="E89" s="27"/>
      <c r="F89" s="232"/>
      <c r="G89" s="145"/>
      <c r="H89" s="166"/>
      <c r="I89" s="27"/>
      <c r="J89" s="285"/>
      <c r="K89" s="44"/>
      <c r="L89" s="252"/>
      <c r="M89" s="27"/>
    </row>
    <row r="90" spans="1:13" ht="15.75" x14ac:dyDescent="0.2">
      <c r="A90" s="294" t="s">
        <v>386</v>
      </c>
      <c r="B90" s="279"/>
      <c r="C90" s="279"/>
      <c r="D90" s="166"/>
      <c r="E90" s="363"/>
      <c r="F90" s="279"/>
      <c r="G90" s="279"/>
      <c r="H90" s="166"/>
      <c r="I90" s="363"/>
      <c r="J90" s="288"/>
      <c r="K90" s="288"/>
      <c r="L90" s="166"/>
      <c r="M90" s="23"/>
    </row>
    <row r="91" spans="1:13" x14ac:dyDescent="0.2">
      <c r="A91" s="294" t="s">
        <v>12</v>
      </c>
      <c r="B91" s="233"/>
      <c r="C91" s="287"/>
      <c r="D91" s="166"/>
      <c r="E91" s="363"/>
      <c r="F91" s="279"/>
      <c r="G91" s="279"/>
      <c r="H91" s="166"/>
      <c r="I91" s="363"/>
      <c r="J91" s="288"/>
      <c r="K91" s="288"/>
      <c r="L91" s="166"/>
      <c r="M91" s="23"/>
    </row>
    <row r="92" spans="1:13" x14ac:dyDescent="0.2">
      <c r="A92" s="294" t="s">
        <v>13</v>
      </c>
      <c r="B92" s="233"/>
      <c r="C92" s="287"/>
      <c r="D92" s="166"/>
      <c r="E92" s="363"/>
      <c r="F92" s="279"/>
      <c r="G92" s="279"/>
      <c r="H92" s="166"/>
      <c r="I92" s="363"/>
      <c r="J92" s="288"/>
      <c r="K92" s="288"/>
      <c r="L92" s="166"/>
      <c r="M92" s="23"/>
    </row>
    <row r="93" spans="1:13" ht="15.75" x14ac:dyDescent="0.2">
      <c r="A93" s="294" t="s">
        <v>387</v>
      </c>
      <c r="B93" s="279"/>
      <c r="C93" s="279"/>
      <c r="D93" s="166"/>
      <c r="E93" s="363"/>
      <c r="F93" s="279"/>
      <c r="G93" s="279"/>
      <c r="H93" s="166"/>
      <c r="I93" s="363"/>
      <c r="J93" s="288"/>
      <c r="K93" s="288"/>
      <c r="L93" s="166"/>
      <c r="M93" s="23"/>
    </row>
    <row r="94" spans="1:13" x14ac:dyDescent="0.2">
      <c r="A94" s="294" t="s">
        <v>12</v>
      </c>
      <c r="B94" s="233"/>
      <c r="C94" s="287"/>
      <c r="D94" s="166"/>
      <c r="E94" s="363"/>
      <c r="F94" s="279"/>
      <c r="G94" s="279"/>
      <c r="H94" s="166"/>
      <c r="I94" s="363"/>
      <c r="J94" s="288"/>
      <c r="K94" s="288"/>
      <c r="L94" s="166"/>
      <c r="M94" s="23"/>
    </row>
    <row r="95" spans="1:13" x14ac:dyDescent="0.2">
      <c r="A95" s="294" t="s">
        <v>13</v>
      </c>
      <c r="B95" s="233"/>
      <c r="C95" s="287"/>
      <c r="D95" s="166"/>
      <c r="E95" s="363"/>
      <c r="F95" s="279"/>
      <c r="G95" s="279"/>
      <c r="H95" s="166"/>
      <c r="I95" s="363"/>
      <c r="J95" s="288"/>
      <c r="K95" s="288"/>
      <c r="L95" s="166"/>
      <c r="M95" s="23"/>
    </row>
    <row r="96" spans="1:13" x14ac:dyDescent="0.2">
      <c r="A96" s="21" t="s">
        <v>354</v>
      </c>
      <c r="B96" s="232"/>
      <c r="C96" s="145"/>
      <c r="D96" s="166"/>
      <c r="E96" s="27"/>
      <c r="F96" s="232"/>
      <c r="G96" s="145"/>
      <c r="H96" s="166"/>
      <c r="I96" s="27"/>
      <c r="J96" s="285"/>
      <c r="K96" s="44"/>
      <c r="L96" s="252"/>
      <c r="M96" s="27"/>
    </row>
    <row r="97" spans="1:13" x14ac:dyDescent="0.2">
      <c r="A97" s="21" t="s">
        <v>353</v>
      </c>
      <c r="B97" s="232"/>
      <c r="C97" s="145"/>
      <c r="D97" s="166"/>
      <c r="E97" s="27"/>
      <c r="F97" s="232"/>
      <c r="G97" s="145"/>
      <c r="H97" s="166"/>
      <c r="I97" s="27"/>
      <c r="J97" s="285"/>
      <c r="K97" s="44"/>
      <c r="L97" s="252"/>
      <c r="M97" s="27"/>
    </row>
    <row r="98" spans="1:13" ht="15.75" x14ac:dyDescent="0.2">
      <c r="A98" s="21" t="s">
        <v>388</v>
      </c>
      <c r="B98" s="232"/>
      <c r="C98" s="232"/>
      <c r="D98" s="166"/>
      <c r="E98" s="27"/>
      <c r="F98" s="290"/>
      <c r="G98" s="290"/>
      <c r="H98" s="166"/>
      <c r="I98" s="27"/>
      <c r="J98" s="285"/>
      <c r="K98" s="44"/>
      <c r="L98" s="252"/>
      <c r="M98" s="27"/>
    </row>
    <row r="99" spans="1:13" x14ac:dyDescent="0.2">
      <c r="A99" s="21" t="s">
        <v>9</v>
      </c>
      <c r="B99" s="290"/>
      <c r="C99" s="291"/>
      <c r="D99" s="166"/>
      <c r="E99" s="27"/>
      <c r="F99" s="232"/>
      <c r="G99" s="145"/>
      <c r="H99" s="166"/>
      <c r="I99" s="27"/>
      <c r="J99" s="285"/>
      <c r="K99" s="44"/>
      <c r="L99" s="252"/>
      <c r="M99" s="27"/>
    </row>
    <row r="100" spans="1:13" x14ac:dyDescent="0.2">
      <c r="A100" s="21" t="s">
        <v>10</v>
      </c>
      <c r="B100" s="290"/>
      <c r="C100" s="291"/>
      <c r="D100" s="166"/>
      <c r="E100" s="27"/>
      <c r="F100" s="232"/>
      <c r="G100" s="232"/>
      <c r="H100" s="166"/>
      <c r="I100" s="27"/>
      <c r="J100" s="285"/>
      <c r="K100" s="44"/>
      <c r="L100" s="252"/>
      <c r="M100" s="27"/>
    </row>
    <row r="101" spans="1:13" ht="15.75" x14ac:dyDescent="0.2">
      <c r="A101" s="294" t="s">
        <v>386</v>
      </c>
      <c r="B101" s="279"/>
      <c r="C101" s="279"/>
      <c r="D101" s="166"/>
      <c r="E101" s="363"/>
      <c r="F101" s="279"/>
      <c r="G101" s="279"/>
      <c r="H101" s="166"/>
      <c r="I101" s="363"/>
      <c r="J101" s="288"/>
      <c r="K101" s="288"/>
      <c r="L101" s="166"/>
      <c r="M101" s="23"/>
    </row>
    <row r="102" spans="1:13" x14ac:dyDescent="0.2">
      <c r="A102" s="294" t="s">
        <v>12</v>
      </c>
      <c r="B102" s="233"/>
      <c r="C102" s="287"/>
      <c r="D102" s="166"/>
      <c r="E102" s="363"/>
      <c r="F102" s="279"/>
      <c r="G102" s="279"/>
      <c r="H102" s="166"/>
      <c r="I102" s="363"/>
      <c r="J102" s="288"/>
      <c r="K102" s="288"/>
      <c r="L102" s="166"/>
      <c r="M102" s="23"/>
    </row>
    <row r="103" spans="1:13" x14ac:dyDescent="0.2">
      <c r="A103" s="294" t="s">
        <v>13</v>
      </c>
      <c r="B103" s="233"/>
      <c r="C103" s="287"/>
      <c r="D103" s="166"/>
      <c r="E103" s="363"/>
      <c r="F103" s="279"/>
      <c r="G103" s="279"/>
      <c r="H103" s="166"/>
      <c r="I103" s="363"/>
      <c r="J103" s="288"/>
      <c r="K103" s="288"/>
      <c r="L103" s="166"/>
      <c r="M103" s="23"/>
    </row>
    <row r="104" spans="1:13" ht="15.75" x14ac:dyDescent="0.2">
      <c r="A104" s="294" t="s">
        <v>387</v>
      </c>
      <c r="B104" s="279"/>
      <c r="C104" s="279"/>
      <c r="D104" s="166"/>
      <c r="E104" s="363"/>
      <c r="F104" s="279"/>
      <c r="G104" s="279"/>
      <c r="H104" s="166"/>
      <c r="I104" s="363"/>
      <c r="J104" s="288"/>
      <c r="K104" s="288"/>
      <c r="L104" s="166"/>
      <c r="M104" s="23"/>
    </row>
    <row r="105" spans="1:13" x14ac:dyDescent="0.2">
      <c r="A105" s="294" t="s">
        <v>12</v>
      </c>
      <c r="B105" s="233"/>
      <c r="C105" s="287"/>
      <c r="D105" s="166"/>
      <c r="E105" s="363"/>
      <c r="F105" s="279"/>
      <c r="G105" s="279"/>
      <c r="H105" s="166"/>
      <c r="I105" s="363"/>
      <c r="J105" s="288"/>
      <c r="K105" s="288"/>
      <c r="L105" s="166"/>
      <c r="M105" s="23"/>
    </row>
    <row r="106" spans="1:13" x14ac:dyDescent="0.2">
      <c r="A106" s="294" t="s">
        <v>13</v>
      </c>
      <c r="B106" s="233"/>
      <c r="C106" s="287"/>
      <c r="D106" s="166"/>
      <c r="E106" s="363"/>
      <c r="F106" s="279"/>
      <c r="G106" s="279"/>
      <c r="H106" s="166"/>
      <c r="I106" s="363"/>
      <c r="J106" s="288"/>
      <c r="K106" s="288"/>
      <c r="L106" s="166"/>
      <c r="M106" s="23"/>
    </row>
    <row r="107" spans="1:13" ht="15.75" x14ac:dyDescent="0.2">
      <c r="A107" s="21" t="s">
        <v>389</v>
      </c>
      <c r="B107" s="232"/>
      <c r="C107" s="145"/>
      <c r="D107" s="166"/>
      <c r="E107" s="27"/>
      <c r="F107" s="232"/>
      <c r="G107" s="145"/>
      <c r="H107" s="166"/>
      <c r="I107" s="27"/>
      <c r="J107" s="285"/>
      <c r="K107" s="44"/>
      <c r="L107" s="252"/>
      <c r="M107" s="27"/>
    </row>
    <row r="108" spans="1:13" ht="15.75" x14ac:dyDescent="0.2">
      <c r="A108" s="21" t="s">
        <v>390</v>
      </c>
      <c r="B108" s="232"/>
      <c r="C108" s="232"/>
      <c r="D108" s="166"/>
      <c r="E108" s="27"/>
      <c r="F108" s="232"/>
      <c r="G108" s="232"/>
      <c r="H108" s="166"/>
      <c r="I108" s="27"/>
      <c r="J108" s="285"/>
      <c r="K108" s="44"/>
      <c r="L108" s="252"/>
      <c r="M108" s="27"/>
    </row>
    <row r="109" spans="1:13" ht="15.75" x14ac:dyDescent="0.2">
      <c r="A109" s="21" t="s">
        <v>391</v>
      </c>
      <c r="B109" s="232"/>
      <c r="C109" s="232"/>
      <c r="D109" s="166"/>
      <c r="E109" s="27"/>
      <c r="F109" s="232"/>
      <c r="G109" s="232"/>
      <c r="H109" s="166"/>
      <c r="I109" s="27"/>
      <c r="J109" s="285"/>
      <c r="K109" s="44"/>
      <c r="L109" s="252"/>
      <c r="M109" s="27"/>
    </row>
    <row r="110" spans="1:13" ht="15.75" x14ac:dyDescent="0.2">
      <c r="A110" s="21" t="s">
        <v>392</v>
      </c>
      <c r="B110" s="232"/>
      <c r="C110" s="232"/>
      <c r="D110" s="166"/>
      <c r="E110" s="27"/>
      <c r="F110" s="232"/>
      <c r="G110" s="232"/>
      <c r="H110" s="166"/>
      <c r="I110" s="27"/>
      <c r="J110" s="285"/>
      <c r="K110" s="44"/>
      <c r="L110" s="252"/>
      <c r="M110" s="27"/>
    </row>
    <row r="111" spans="1:13" ht="15.75" x14ac:dyDescent="0.2">
      <c r="A111" s="13" t="s">
        <v>372</v>
      </c>
      <c r="B111" s="306"/>
      <c r="C111" s="159"/>
      <c r="D111" s="171"/>
      <c r="E111" s="11"/>
      <c r="F111" s="306"/>
      <c r="G111" s="159"/>
      <c r="H111" s="171"/>
      <c r="I111" s="11"/>
      <c r="J111" s="307"/>
      <c r="K111" s="234"/>
      <c r="L111" s="371"/>
      <c r="M111" s="11"/>
    </row>
    <row r="112" spans="1:13" x14ac:dyDescent="0.2">
      <c r="A112" s="21" t="s">
        <v>9</v>
      </c>
      <c r="B112" s="232"/>
      <c r="C112" s="145"/>
      <c r="D112" s="166"/>
      <c r="E112" s="27"/>
      <c r="F112" s="232"/>
      <c r="G112" s="145"/>
      <c r="H112" s="166"/>
      <c r="I112" s="27"/>
      <c r="J112" s="285"/>
      <c r="K112" s="44"/>
      <c r="L112" s="252"/>
      <c r="M112" s="27"/>
    </row>
    <row r="113" spans="1:14" x14ac:dyDescent="0.2">
      <c r="A113" s="21" t="s">
        <v>10</v>
      </c>
      <c r="B113" s="232"/>
      <c r="C113" s="145"/>
      <c r="D113" s="166"/>
      <c r="E113" s="27"/>
      <c r="F113" s="232"/>
      <c r="G113" s="145"/>
      <c r="H113" s="166"/>
      <c r="I113" s="27"/>
      <c r="J113" s="285"/>
      <c r="K113" s="44"/>
      <c r="L113" s="252"/>
      <c r="M113" s="27"/>
    </row>
    <row r="114" spans="1:14" x14ac:dyDescent="0.2">
      <c r="A114" s="21" t="s">
        <v>26</v>
      </c>
      <c r="B114" s="232"/>
      <c r="C114" s="145"/>
      <c r="D114" s="166"/>
      <c r="E114" s="27"/>
      <c r="F114" s="232"/>
      <c r="G114" s="145"/>
      <c r="H114" s="166"/>
      <c r="I114" s="27"/>
      <c r="J114" s="285"/>
      <c r="K114" s="44"/>
      <c r="L114" s="252"/>
      <c r="M114" s="27"/>
    </row>
    <row r="115" spans="1:14" x14ac:dyDescent="0.2">
      <c r="A115" s="294" t="s">
        <v>15</v>
      </c>
      <c r="B115" s="279"/>
      <c r="C115" s="279"/>
      <c r="D115" s="166"/>
      <c r="E115" s="363"/>
      <c r="F115" s="279"/>
      <c r="G115" s="279"/>
      <c r="H115" s="166"/>
      <c r="I115" s="363"/>
      <c r="J115" s="288"/>
      <c r="K115" s="288"/>
      <c r="L115" s="166"/>
      <c r="M115" s="23"/>
    </row>
    <row r="116" spans="1:14" ht="15.75" x14ac:dyDescent="0.2">
      <c r="A116" s="21" t="s">
        <v>393</v>
      </c>
      <c r="B116" s="232"/>
      <c r="C116" s="232"/>
      <c r="D116" s="166"/>
      <c r="E116" s="27"/>
      <c r="F116" s="232"/>
      <c r="G116" s="232"/>
      <c r="H116" s="166"/>
      <c r="I116" s="27"/>
      <c r="J116" s="285"/>
      <c r="K116" s="44"/>
      <c r="L116" s="252"/>
      <c r="M116" s="27"/>
    </row>
    <row r="117" spans="1:14" ht="15.75" x14ac:dyDescent="0.2">
      <c r="A117" s="21" t="s">
        <v>394</v>
      </c>
      <c r="B117" s="232"/>
      <c r="C117" s="232"/>
      <c r="D117" s="166"/>
      <c r="E117" s="27"/>
      <c r="F117" s="232"/>
      <c r="G117" s="232"/>
      <c r="H117" s="166"/>
      <c r="I117" s="27"/>
      <c r="J117" s="285"/>
      <c r="K117" s="44"/>
      <c r="L117" s="252"/>
      <c r="M117" s="27"/>
    </row>
    <row r="118" spans="1:14" ht="15.75" x14ac:dyDescent="0.2">
      <c r="A118" s="21" t="s">
        <v>392</v>
      </c>
      <c r="B118" s="232"/>
      <c r="C118" s="232"/>
      <c r="D118" s="166"/>
      <c r="E118" s="27"/>
      <c r="F118" s="232"/>
      <c r="G118" s="232"/>
      <c r="H118" s="166"/>
      <c r="I118" s="27"/>
      <c r="J118" s="285"/>
      <c r="K118" s="44"/>
      <c r="L118" s="252"/>
      <c r="M118" s="27"/>
    </row>
    <row r="119" spans="1:14" ht="15.75" x14ac:dyDescent="0.2">
      <c r="A119" s="13" t="s">
        <v>373</v>
      </c>
      <c r="B119" s="306"/>
      <c r="C119" s="159"/>
      <c r="D119" s="171"/>
      <c r="E119" s="11"/>
      <c r="F119" s="306"/>
      <c r="G119" s="159"/>
      <c r="H119" s="171"/>
      <c r="I119" s="11"/>
      <c r="J119" s="307"/>
      <c r="K119" s="234"/>
      <c r="L119" s="371"/>
      <c r="M119" s="11"/>
    </row>
    <row r="120" spans="1:14" x14ac:dyDescent="0.2">
      <c r="A120" s="21" t="s">
        <v>9</v>
      </c>
      <c r="B120" s="232"/>
      <c r="C120" s="145"/>
      <c r="D120" s="166"/>
      <c r="E120" s="27"/>
      <c r="F120" s="232"/>
      <c r="G120" s="145"/>
      <c r="H120" s="166"/>
      <c r="I120" s="27"/>
      <c r="J120" s="285"/>
      <c r="K120" s="44"/>
      <c r="L120" s="252"/>
      <c r="M120" s="27"/>
    </row>
    <row r="121" spans="1:14" x14ac:dyDescent="0.2">
      <c r="A121" s="21" t="s">
        <v>10</v>
      </c>
      <c r="B121" s="232"/>
      <c r="C121" s="145"/>
      <c r="D121" s="166"/>
      <c r="E121" s="27"/>
      <c r="F121" s="232"/>
      <c r="G121" s="145"/>
      <c r="H121" s="166"/>
      <c r="I121" s="27"/>
      <c r="J121" s="285"/>
      <c r="K121" s="44"/>
      <c r="L121" s="252"/>
      <c r="M121" s="27"/>
    </row>
    <row r="122" spans="1:14" x14ac:dyDescent="0.2">
      <c r="A122" s="21" t="s">
        <v>26</v>
      </c>
      <c r="B122" s="232"/>
      <c r="C122" s="145"/>
      <c r="D122" s="166"/>
      <c r="E122" s="27"/>
      <c r="F122" s="232"/>
      <c r="G122" s="145"/>
      <c r="H122" s="166"/>
      <c r="I122" s="27"/>
      <c r="J122" s="285"/>
      <c r="K122" s="44"/>
      <c r="L122" s="252"/>
      <c r="M122" s="27"/>
    </row>
    <row r="123" spans="1:14" x14ac:dyDescent="0.2">
      <c r="A123" s="294" t="s">
        <v>14</v>
      </c>
      <c r="B123" s="279"/>
      <c r="C123" s="279"/>
      <c r="D123" s="166"/>
      <c r="E123" s="363"/>
      <c r="F123" s="279"/>
      <c r="G123" s="279"/>
      <c r="H123" s="166"/>
      <c r="I123" s="363"/>
      <c r="J123" s="288"/>
      <c r="K123" s="288"/>
      <c r="L123" s="166"/>
      <c r="M123" s="23"/>
    </row>
    <row r="124" spans="1:14" ht="15.75" x14ac:dyDescent="0.2">
      <c r="A124" s="21" t="s">
        <v>399</v>
      </c>
      <c r="B124" s="232"/>
      <c r="C124" s="232"/>
      <c r="D124" s="166"/>
      <c r="E124" s="27"/>
      <c r="F124" s="232"/>
      <c r="G124" s="232"/>
      <c r="H124" s="166"/>
      <c r="I124" s="27"/>
      <c r="J124" s="285"/>
      <c r="K124" s="44"/>
      <c r="L124" s="252"/>
      <c r="M124" s="27"/>
    </row>
    <row r="125" spans="1:14" ht="15.75" x14ac:dyDescent="0.2">
      <c r="A125" s="21" t="s">
        <v>391</v>
      </c>
      <c r="B125" s="232"/>
      <c r="C125" s="232"/>
      <c r="D125" s="166"/>
      <c r="E125" s="27"/>
      <c r="F125" s="232"/>
      <c r="G125" s="232"/>
      <c r="H125" s="166"/>
      <c r="I125" s="27"/>
      <c r="J125" s="285"/>
      <c r="K125" s="44"/>
      <c r="L125" s="252"/>
      <c r="M125" s="27"/>
    </row>
    <row r="126" spans="1:14" ht="15.75" x14ac:dyDescent="0.2">
      <c r="A126" s="10" t="s">
        <v>392</v>
      </c>
      <c r="B126" s="45"/>
      <c r="C126" s="45"/>
      <c r="D126" s="167"/>
      <c r="E126" s="364"/>
      <c r="F126" s="45"/>
      <c r="G126" s="45"/>
      <c r="H126" s="167"/>
      <c r="I126" s="22"/>
      <c r="J126" s="286"/>
      <c r="K126" s="45"/>
      <c r="L126" s="253"/>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95"/>
      <c r="C130" s="695"/>
      <c r="D130" s="695"/>
      <c r="E130" s="297"/>
      <c r="F130" s="695"/>
      <c r="G130" s="695"/>
      <c r="H130" s="695"/>
      <c r="I130" s="297"/>
      <c r="J130" s="695"/>
      <c r="K130" s="695"/>
      <c r="L130" s="695"/>
      <c r="M130" s="297"/>
    </row>
    <row r="131" spans="1:14" s="3" customFormat="1" x14ac:dyDescent="0.2">
      <c r="A131" s="144"/>
      <c r="B131" s="696" t="s">
        <v>0</v>
      </c>
      <c r="C131" s="697"/>
      <c r="D131" s="697"/>
      <c r="E131" s="299"/>
      <c r="F131" s="696" t="s">
        <v>1</v>
      </c>
      <c r="G131" s="697"/>
      <c r="H131" s="697"/>
      <c r="I131" s="302"/>
      <c r="J131" s="696" t="s">
        <v>2</v>
      </c>
      <c r="K131" s="697"/>
      <c r="L131" s="697"/>
      <c r="M131" s="302"/>
      <c r="N131" s="148"/>
    </row>
    <row r="132" spans="1:14" s="3" customFormat="1" x14ac:dyDescent="0.2">
      <c r="A132" s="140"/>
      <c r="B132" s="152" t="s">
        <v>422</v>
      </c>
      <c r="C132" s="152" t="s">
        <v>423</v>
      </c>
      <c r="D132" s="243" t="s">
        <v>3</v>
      </c>
      <c r="E132" s="303" t="s">
        <v>29</v>
      </c>
      <c r="F132" s="152" t="s">
        <v>422</v>
      </c>
      <c r="G132" s="152" t="s">
        <v>423</v>
      </c>
      <c r="H132" s="205" t="s">
        <v>3</v>
      </c>
      <c r="I132" s="162" t="s">
        <v>29</v>
      </c>
      <c r="J132" s="152" t="s">
        <v>422</v>
      </c>
      <c r="K132" s="152" t="s">
        <v>423</v>
      </c>
      <c r="L132" s="244" t="s">
        <v>3</v>
      </c>
      <c r="M132" s="162" t="s">
        <v>29</v>
      </c>
      <c r="N132" s="148"/>
    </row>
    <row r="133" spans="1:14" s="3" customFormat="1" x14ac:dyDescent="0.2">
      <c r="A133" s="666"/>
      <c r="B133" s="156"/>
      <c r="C133" s="156"/>
      <c r="D133" s="244" t="s">
        <v>4</v>
      </c>
      <c r="E133" s="156" t="s">
        <v>30</v>
      </c>
      <c r="F133" s="161"/>
      <c r="G133" s="161"/>
      <c r="H133" s="205" t="s">
        <v>4</v>
      </c>
      <c r="I133" s="156" t="s">
        <v>30</v>
      </c>
      <c r="J133" s="156"/>
      <c r="K133" s="156"/>
      <c r="L133" s="150" t="s">
        <v>4</v>
      </c>
      <c r="M133" s="156" t="s">
        <v>30</v>
      </c>
      <c r="N133" s="148"/>
    </row>
    <row r="134" spans="1:14" s="3" customFormat="1" ht="15.75" x14ac:dyDescent="0.2">
      <c r="A134" s="14" t="s">
        <v>395</v>
      </c>
      <c r="B134" s="234"/>
      <c r="C134" s="307"/>
      <c r="D134" s="347"/>
      <c r="E134" s="11"/>
      <c r="F134" s="314"/>
      <c r="G134" s="315"/>
      <c r="H134" s="374"/>
      <c r="I134" s="24"/>
      <c r="J134" s="316"/>
      <c r="K134" s="316"/>
      <c r="L134" s="370"/>
      <c r="M134" s="11"/>
      <c r="N134" s="148"/>
    </row>
    <row r="135" spans="1:14" s="3" customFormat="1" ht="15.75" x14ac:dyDescent="0.2">
      <c r="A135" s="13" t="s">
        <v>400</v>
      </c>
      <c r="B135" s="234"/>
      <c r="C135" s="307"/>
      <c r="D135" s="171"/>
      <c r="E135" s="11"/>
      <c r="F135" s="234"/>
      <c r="G135" s="307"/>
      <c r="H135" s="375"/>
      <c r="I135" s="24"/>
      <c r="J135" s="306"/>
      <c r="K135" s="306"/>
      <c r="L135" s="371"/>
      <c r="M135" s="11"/>
      <c r="N135" s="148"/>
    </row>
    <row r="136" spans="1:14" s="3" customFormat="1" ht="15.75" x14ac:dyDescent="0.2">
      <c r="A136" s="13" t="s">
        <v>397</v>
      </c>
      <c r="B136" s="234"/>
      <c r="C136" s="307"/>
      <c r="D136" s="171"/>
      <c r="E136" s="11"/>
      <c r="F136" s="234"/>
      <c r="G136" s="307"/>
      <c r="H136" s="375"/>
      <c r="I136" s="24"/>
      <c r="J136" s="306"/>
      <c r="K136" s="306"/>
      <c r="L136" s="371"/>
      <c r="M136" s="11"/>
      <c r="N136" s="148"/>
    </row>
    <row r="137" spans="1:14" s="3" customFormat="1" ht="15.75" x14ac:dyDescent="0.2">
      <c r="A137" s="41" t="s">
        <v>398</v>
      </c>
      <c r="B137" s="274"/>
      <c r="C137" s="313"/>
      <c r="D137" s="169"/>
      <c r="E137" s="9"/>
      <c r="F137" s="274"/>
      <c r="G137" s="313"/>
      <c r="H137" s="376"/>
      <c r="I137" s="36"/>
      <c r="J137" s="312"/>
      <c r="K137" s="312"/>
      <c r="L137" s="372"/>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281" priority="132">
      <formula>kvartal &lt; 4</formula>
    </cfRule>
  </conditionalFormatting>
  <conditionalFormatting sqref="B69">
    <cfRule type="expression" dxfId="1280" priority="100">
      <formula>kvartal &lt; 4</formula>
    </cfRule>
  </conditionalFormatting>
  <conditionalFormatting sqref="C69">
    <cfRule type="expression" dxfId="1279" priority="99">
      <formula>kvartal &lt; 4</formula>
    </cfRule>
  </conditionalFormatting>
  <conditionalFormatting sqref="B72">
    <cfRule type="expression" dxfId="1278" priority="98">
      <formula>kvartal &lt; 4</formula>
    </cfRule>
  </conditionalFormatting>
  <conditionalFormatting sqref="C72">
    <cfRule type="expression" dxfId="1277" priority="97">
      <formula>kvartal &lt; 4</formula>
    </cfRule>
  </conditionalFormatting>
  <conditionalFormatting sqref="B80">
    <cfRule type="expression" dxfId="1276" priority="96">
      <formula>kvartal &lt; 4</formula>
    </cfRule>
  </conditionalFormatting>
  <conditionalFormatting sqref="C80">
    <cfRule type="expression" dxfId="1275" priority="95">
      <formula>kvartal &lt; 4</formula>
    </cfRule>
  </conditionalFormatting>
  <conditionalFormatting sqref="B83">
    <cfRule type="expression" dxfId="1274" priority="94">
      <formula>kvartal &lt; 4</formula>
    </cfRule>
  </conditionalFormatting>
  <conditionalFormatting sqref="C83">
    <cfRule type="expression" dxfId="1273" priority="93">
      <formula>kvartal &lt; 4</formula>
    </cfRule>
  </conditionalFormatting>
  <conditionalFormatting sqref="B90">
    <cfRule type="expression" dxfId="1272" priority="84">
      <formula>kvartal &lt; 4</formula>
    </cfRule>
  </conditionalFormatting>
  <conditionalFormatting sqref="C90">
    <cfRule type="expression" dxfId="1271" priority="83">
      <formula>kvartal &lt; 4</formula>
    </cfRule>
  </conditionalFormatting>
  <conditionalFormatting sqref="B93">
    <cfRule type="expression" dxfId="1270" priority="82">
      <formula>kvartal &lt; 4</formula>
    </cfRule>
  </conditionalFormatting>
  <conditionalFormatting sqref="C93">
    <cfRule type="expression" dxfId="1269" priority="81">
      <formula>kvartal &lt; 4</formula>
    </cfRule>
  </conditionalFormatting>
  <conditionalFormatting sqref="B101">
    <cfRule type="expression" dxfId="1268" priority="80">
      <formula>kvartal &lt; 4</formula>
    </cfRule>
  </conditionalFormatting>
  <conditionalFormatting sqref="C101">
    <cfRule type="expression" dxfId="1267" priority="79">
      <formula>kvartal &lt; 4</formula>
    </cfRule>
  </conditionalFormatting>
  <conditionalFormatting sqref="B104">
    <cfRule type="expression" dxfId="1266" priority="78">
      <formula>kvartal &lt; 4</formula>
    </cfRule>
  </conditionalFormatting>
  <conditionalFormatting sqref="C104">
    <cfRule type="expression" dxfId="1265" priority="77">
      <formula>kvartal &lt; 4</formula>
    </cfRule>
  </conditionalFormatting>
  <conditionalFormatting sqref="B115">
    <cfRule type="expression" dxfId="1264" priority="76">
      <formula>kvartal &lt; 4</formula>
    </cfRule>
  </conditionalFormatting>
  <conditionalFormatting sqref="C115">
    <cfRule type="expression" dxfId="1263" priority="75">
      <formula>kvartal &lt; 4</formula>
    </cfRule>
  </conditionalFormatting>
  <conditionalFormatting sqref="B123">
    <cfRule type="expression" dxfId="1262" priority="74">
      <formula>kvartal &lt; 4</formula>
    </cfRule>
  </conditionalFormatting>
  <conditionalFormatting sqref="C123">
    <cfRule type="expression" dxfId="1261" priority="73">
      <formula>kvartal &lt; 4</formula>
    </cfRule>
  </conditionalFormatting>
  <conditionalFormatting sqref="F70">
    <cfRule type="expression" dxfId="1260" priority="72">
      <formula>kvartal &lt; 4</formula>
    </cfRule>
  </conditionalFormatting>
  <conditionalFormatting sqref="G70">
    <cfRule type="expression" dxfId="1259" priority="71">
      <formula>kvartal &lt; 4</formula>
    </cfRule>
  </conditionalFormatting>
  <conditionalFormatting sqref="F71:G71">
    <cfRule type="expression" dxfId="1258" priority="70">
      <formula>kvartal &lt; 4</formula>
    </cfRule>
  </conditionalFormatting>
  <conditionalFormatting sqref="F73:G74">
    <cfRule type="expression" dxfId="1257" priority="69">
      <formula>kvartal &lt; 4</formula>
    </cfRule>
  </conditionalFormatting>
  <conditionalFormatting sqref="F81:G82">
    <cfRule type="expression" dxfId="1256" priority="68">
      <formula>kvartal &lt; 4</formula>
    </cfRule>
  </conditionalFormatting>
  <conditionalFormatting sqref="F84:G85">
    <cfRule type="expression" dxfId="1255" priority="67">
      <formula>kvartal &lt; 4</formula>
    </cfRule>
  </conditionalFormatting>
  <conditionalFormatting sqref="F91:G92">
    <cfRule type="expression" dxfId="1254" priority="62">
      <formula>kvartal &lt; 4</formula>
    </cfRule>
  </conditionalFormatting>
  <conditionalFormatting sqref="F94:G95">
    <cfRule type="expression" dxfId="1253" priority="61">
      <formula>kvartal &lt; 4</formula>
    </cfRule>
  </conditionalFormatting>
  <conditionalFormatting sqref="F102:G103">
    <cfRule type="expression" dxfId="1252" priority="60">
      <formula>kvartal &lt; 4</formula>
    </cfRule>
  </conditionalFormatting>
  <conditionalFormatting sqref="F105:G106">
    <cfRule type="expression" dxfId="1251" priority="59">
      <formula>kvartal &lt; 4</formula>
    </cfRule>
  </conditionalFormatting>
  <conditionalFormatting sqref="F115">
    <cfRule type="expression" dxfId="1250" priority="58">
      <formula>kvartal &lt; 4</formula>
    </cfRule>
  </conditionalFormatting>
  <conditionalFormatting sqref="G115">
    <cfRule type="expression" dxfId="1249" priority="57">
      <formula>kvartal &lt; 4</formula>
    </cfRule>
  </conditionalFormatting>
  <conditionalFormatting sqref="F123:G123">
    <cfRule type="expression" dxfId="1248" priority="56">
      <formula>kvartal &lt; 4</formula>
    </cfRule>
  </conditionalFormatting>
  <conditionalFormatting sqref="F69:G69">
    <cfRule type="expression" dxfId="1247" priority="55">
      <formula>kvartal &lt; 4</formula>
    </cfRule>
  </conditionalFormatting>
  <conditionalFormatting sqref="F72:G72">
    <cfRule type="expression" dxfId="1246" priority="54">
      <formula>kvartal &lt; 4</formula>
    </cfRule>
  </conditionalFormatting>
  <conditionalFormatting sqref="F80:G80">
    <cfRule type="expression" dxfId="1245" priority="53">
      <formula>kvartal &lt; 4</formula>
    </cfRule>
  </conditionalFormatting>
  <conditionalFormatting sqref="F83:G83">
    <cfRule type="expression" dxfId="1244" priority="52">
      <formula>kvartal &lt; 4</formula>
    </cfRule>
  </conditionalFormatting>
  <conditionalFormatting sqref="F90:G90">
    <cfRule type="expression" dxfId="1243" priority="46">
      <formula>kvartal &lt; 4</formula>
    </cfRule>
  </conditionalFormatting>
  <conditionalFormatting sqref="F93">
    <cfRule type="expression" dxfId="1242" priority="45">
      <formula>kvartal &lt; 4</formula>
    </cfRule>
  </conditionalFormatting>
  <conditionalFormatting sqref="G93">
    <cfRule type="expression" dxfId="1241" priority="44">
      <formula>kvartal &lt; 4</formula>
    </cfRule>
  </conditionalFormatting>
  <conditionalFormatting sqref="F101">
    <cfRule type="expression" dxfId="1240" priority="43">
      <formula>kvartal &lt; 4</formula>
    </cfRule>
  </conditionalFormatting>
  <conditionalFormatting sqref="G101">
    <cfRule type="expression" dxfId="1239" priority="42">
      <formula>kvartal &lt; 4</formula>
    </cfRule>
  </conditionalFormatting>
  <conditionalFormatting sqref="G104">
    <cfRule type="expression" dxfId="1238" priority="41">
      <formula>kvartal &lt; 4</formula>
    </cfRule>
  </conditionalFormatting>
  <conditionalFormatting sqref="F104">
    <cfRule type="expression" dxfId="1237" priority="40">
      <formula>kvartal &lt; 4</formula>
    </cfRule>
  </conditionalFormatting>
  <conditionalFormatting sqref="J69:K73">
    <cfRule type="expression" dxfId="1236" priority="39">
      <formula>kvartal &lt; 4</formula>
    </cfRule>
  </conditionalFormatting>
  <conditionalFormatting sqref="J74:K74">
    <cfRule type="expression" dxfId="1235" priority="38">
      <formula>kvartal &lt; 4</formula>
    </cfRule>
  </conditionalFormatting>
  <conditionalFormatting sqref="J80:K85">
    <cfRule type="expression" dxfId="1234" priority="37">
      <formula>kvartal &lt; 4</formula>
    </cfRule>
  </conditionalFormatting>
  <conditionalFormatting sqref="J90:K95">
    <cfRule type="expression" dxfId="1233" priority="34">
      <formula>kvartal &lt; 4</formula>
    </cfRule>
  </conditionalFormatting>
  <conditionalFormatting sqref="J101:K106">
    <cfRule type="expression" dxfId="1232" priority="33">
      <formula>kvartal &lt; 4</formula>
    </cfRule>
  </conditionalFormatting>
  <conditionalFormatting sqref="J115:K115">
    <cfRule type="expression" dxfId="1231" priority="32">
      <formula>kvartal &lt; 4</formula>
    </cfRule>
  </conditionalFormatting>
  <conditionalFormatting sqref="J123:K123">
    <cfRule type="expression" dxfId="1230" priority="31">
      <formula>kvartal &lt; 4</formula>
    </cfRule>
  </conditionalFormatting>
  <conditionalFormatting sqref="A50:A52">
    <cfRule type="expression" dxfId="1229" priority="12">
      <formula>kvartal &lt; 4</formula>
    </cfRule>
  </conditionalFormatting>
  <conditionalFormatting sqref="A69:A74">
    <cfRule type="expression" dxfId="1228" priority="10">
      <formula>kvartal &lt; 4</formula>
    </cfRule>
  </conditionalFormatting>
  <conditionalFormatting sqref="A80:A85">
    <cfRule type="expression" dxfId="1227" priority="9">
      <formula>kvartal &lt; 4</formula>
    </cfRule>
  </conditionalFormatting>
  <conditionalFormatting sqref="A90:A95">
    <cfRule type="expression" dxfId="1226" priority="6">
      <formula>kvartal &lt; 4</formula>
    </cfRule>
  </conditionalFormatting>
  <conditionalFormatting sqref="A101:A106">
    <cfRule type="expression" dxfId="1225" priority="5">
      <formula>kvartal &lt; 4</formula>
    </cfRule>
  </conditionalFormatting>
  <conditionalFormatting sqref="A115">
    <cfRule type="expression" dxfId="1224" priority="4">
      <formula>kvartal &lt; 4</formula>
    </cfRule>
  </conditionalFormatting>
  <conditionalFormatting sqref="A123">
    <cfRule type="expression" dxfId="1223" priority="3">
      <formula>kvartal &lt; 4</formula>
    </cfRule>
  </conditionalFormatting>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dimension ref="A1:N144"/>
  <sheetViews>
    <sheetView showGridLines="0" zoomScaleNormal="100" zoomScaleSheetLayoutView="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64"/>
      <c r="C1" s="246" t="s">
        <v>133</v>
      </c>
      <c r="D1" s="26"/>
      <c r="E1" s="26"/>
      <c r="F1" s="26"/>
      <c r="G1" s="26"/>
      <c r="H1" s="26"/>
      <c r="I1" s="26"/>
      <c r="J1" s="26"/>
      <c r="K1" s="26"/>
      <c r="L1" s="26"/>
      <c r="M1" s="26"/>
    </row>
    <row r="2" spans="1:14" ht="15.75" x14ac:dyDescent="0.25">
      <c r="A2" s="165" t="s">
        <v>28</v>
      </c>
      <c r="B2" s="700"/>
      <c r="C2" s="700"/>
      <c r="D2" s="700"/>
      <c r="E2" s="297"/>
      <c r="F2" s="700"/>
      <c r="G2" s="700"/>
      <c r="H2" s="700"/>
      <c r="I2" s="297"/>
      <c r="J2" s="700"/>
      <c r="K2" s="700"/>
      <c r="L2" s="700"/>
      <c r="M2" s="297"/>
    </row>
    <row r="3" spans="1:14" ht="15.75" x14ac:dyDescent="0.25">
      <c r="A3" s="163"/>
      <c r="B3" s="297"/>
      <c r="C3" s="297"/>
      <c r="D3" s="297"/>
      <c r="E3" s="297"/>
      <c r="F3" s="297"/>
      <c r="G3" s="297"/>
      <c r="H3" s="297"/>
      <c r="I3" s="297"/>
      <c r="J3" s="297"/>
      <c r="K3" s="297"/>
      <c r="L3" s="297"/>
      <c r="M3" s="297"/>
    </row>
    <row r="4" spans="1:14" x14ac:dyDescent="0.2">
      <c r="A4" s="144"/>
      <c r="B4" s="696" t="s">
        <v>0</v>
      </c>
      <c r="C4" s="697"/>
      <c r="D4" s="697"/>
      <c r="E4" s="299"/>
      <c r="F4" s="696" t="s">
        <v>1</v>
      </c>
      <c r="G4" s="697"/>
      <c r="H4" s="697"/>
      <c r="I4" s="302"/>
      <c r="J4" s="696" t="s">
        <v>2</v>
      </c>
      <c r="K4" s="697"/>
      <c r="L4" s="697"/>
      <c r="M4" s="302"/>
    </row>
    <row r="5" spans="1:14" x14ac:dyDescent="0.2">
      <c r="A5" s="158"/>
      <c r="B5" s="152" t="s">
        <v>422</v>
      </c>
      <c r="C5" s="152" t="s">
        <v>423</v>
      </c>
      <c r="D5" s="243" t="s">
        <v>3</v>
      </c>
      <c r="E5" s="303" t="s">
        <v>29</v>
      </c>
      <c r="F5" s="152" t="s">
        <v>422</v>
      </c>
      <c r="G5" s="152" t="s">
        <v>423</v>
      </c>
      <c r="H5" s="243" t="s">
        <v>3</v>
      </c>
      <c r="I5" s="162" t="s">
        <v>29</v>
      </c>
      <c r="J5" s="152" t="s">
        <v>422</v>
      </c>
      <c r="K5" s="152" t="s">
        <v>423</v>
      </c>
      <c r="L5" s="243" t="s">
        <v>3</v>
      </c>
      <c r="M5" s="162" t="s">
        <v>29</v>
      </c>
    </row>
    <row r="6" spans="1:14" x14ac:dyDescent="0.2">
      <c r="A6" s="665"/>
      <c r="B6" s="156"/>
      <c r="C6" s="156"/>
      <c r="D6" s="244" t="s">
        <v>4</v>
      </c>
      <c r="E6" s="156" t="s">
        <v>30</v>
      </c>
      <c r="F6" s="161"/>
      <c r="G6" s="161"/>
      <c r="H6" s="243" t="s">
        <v>4</v>
      </c>
      <c r="I6" s="156" t="s">
        <v>30</v>
      </c>
      <c r="J6" s="161"/>
      <c r="K6" s="161"/>
      <c r="L6" s="243" t="s">
        <v>4</v>
      </c>
      <c r="M6" s="156" t="s">
        <v>30</v>
      </c>
    </row>
    <row r="7" spans="1:14" ht="15.75" x14ac:dyDescent="0.2">
      <c r="A7" s="14" t="s">
        <v>23</v>
      </c>
      <c r="B7" s="304">
        <v>534216</v>
      </c>
      <c r="C7" s="305">
        <v>547970</v>
      </c>
      <c r="D7" s="347">
        <f>IF(B7=0, "    ---- ", IF(ABS(ROUND(100/B7*C7-100,1))&lt;999,ROUND(100/B7*C7-100,1),IF(ROUND(100/B7*C7-100,1)&gt;999,999,-999)))</f>
        <v>2.6</v>
      </c>
      <c r="E7" s="11">
        <f>IFERROR(100/'Skjema total MA'!C7*C7,0)</f>
        <v>20.634478150202742</v>
      </c>
      <c r="F7" s="304"/>
      <c r="G7" s="305"/>
      <c r="H7" s="347"/>
      <c r="I7" s="160"/>
      <c r="J7" s="306">
        <f t="shared" ref="J7:K9" si="0">SUM(B7,F7)</f>
        <v>534216</v>
      </c>
      <c r="K7" s="307">
        <f t="shared" si="0"/>
        <v>547970</v>
      </c>
      <c r="L7" s="370">
        <f>IF(J7=0, "    ---- ", IF(ABS(ROUND(100/J7*K7-100,1))&lt;999,ROUND(100/J7*K7-100,1),IF(ROUND(100/J7*K7-100,1)&gt;999,999,-999)))</f>
        <v>2.6</v>
      </c>
      <c r="M7" s="11">
        <f>IFERROR(100/'Skjema total MA'!I7*K7,0)</f>
        <v>7.1323381008538016</v>
      </c>
    </row>
    <row r="8" spans="1:14" ht="15.75" x14ac:dyDescent="0.2">
      <c r="A8" s="21" t="s">
        <v>25</v>
      </c>
      <c r="B8" s="279">
        <v>317849</v>
      </c>
      <c r="C8" s="280">
        <v>329697</v>
      </c>
      <c r="D8" s="166">
        <f t="shared" ref="D8:D9" si="1">IF(B8=0, "    ---- ", IF(ABS(ROUND(100/B8*C8-100,1))&lt;999,ROUND(100/B8*C8-100,1),IF(ROUND(100/B8*C8-100,1)&gt;999,999,-999)))</f>
        <v>3.7</v>
      </c>
      <c r="E8" s="27">
        <f>IFERROR(100/'Skjema total MA'!C8*C8,0)</f>
        <v>20.642952188878596</v>
      </c>
      <c r="F8" s="283"/>
      <c r="G8" s="284"/>
      <c r="H8" s="166"/>
      <c r="I8" s="175"/>
      <c r="J8" s="232">
        <f t="shared" si="0"/>
        <v>317849</v>
      </c>
      <c r="K8" s="285">
        <f t="shared" si="0"/>
        <v>329697</v>
      </c>
      <c r="L8" s="166">
        <f t="shared" ref="L8:L9" si="2">IF(J8=0, "    ---- ", IF(ABS(ROUND(100/J8*K8-100,1))&lt;999,ROUND(100/J8*K8-100,1),IF(ROUND(100/J8*K8-100,1)&gt;999,999,-999)))</f>
        <v>3.7</v>
      </c>
      <c r="M8" s="27">
        <f>IFERROR(100/'Skjema total MA'!I8*K8,0)</f>
        <v>20.642952188878596</v>
      </c>
    </row>
    <row r="9" spans="1:14" ht="15.75" x14ac:dyDescent="0.2">
      <c r="A9" s="21" t="s">
        <v>24</v>
      </c>
      <c r="B9" s="279">
        <v>216367</v>
      </c>
      <c r="C9" s="280">
        <v>218273</v>
      </c>
      <c r="D9" s="166">
        <f t="shared" si="1"/>
        <v>0.9</v>
      </c>
      <c r="E9" s="27">
        <f>IFERROR(100/'Skjema total MA'!C9*C9,0)</f>
        <v>37.487196345788036</v>
      </c>
      <c r="F9" s="283"/>
      <c r="G9" s="284"/>
      <c r="H9" s="166"/>
      <c r="I9" s="175"/>
      <c r="J9" s="232">
        <f t="shared" si="0"/>
        <v>216367</v>
      </c>
      <c r="K9" s="285">
        <f t="shared" si="0"/>
        <v>218273</v>
      </c>
      <c r="L9" s="166">
        <f t="shared" si="2"/>
        <v>0.9</v>
      </c>
      <c r="M9" s="27">
        <f>IFERROR(100/'Skjema total MA'!I9*K9,0)</f>
        <v>37.487196345788036</v>
      </c>
    </row>
    <row r="10" spans="1:14" ht="15.75" x14ac:dyDescent="0.2">
      <c r="A10" s="13" t="s">
        <v>371</v>
      </c>
      <c r="B10" s="308"/>
      <c r="C10" s="309"/>
      <c r="D10" s="171"/>
      <c r="E10" s="11"/>
      <c r="F10" s="308"/>
      <c r="G10" s="309"/>
      <c r="H10" s="171"/>
      <c r="I10" s="160"/>
      <c r="J10" s="306"/>
      <c r="K10" s="307"/>
      <c r="L10" s="371"/>
      <c r="M10" s="11"/>
    </row>
    <row r="11" spans="1:14" s="43" customFormat="1" ht="15.75" x14ac:dyDescent="0.2">
      <c r="A11" s="13" t="s">
        <v>372</v>
      </c>
      <c r="B11" s="308"/>
      <c r="C11" s="309"/>
      <c r="D11" s="171"/>
      <c r="E11" s="11"/>
      <c r="F11" s="308"/>
      <c r="G11" s="309"/>
      <c r="H11" s="171"/>
      <c r="I11" s="160"/>
      <c r="J11" s="306"/>
      <c r="K11" s="307"/>
      <c r="L11" s="371"/>
      <c r="M11" s="11"/>
      <c r="N11" s="143"/>
    </row>
    <row r="12" spans="1:14" s="43" customFormat="1" ht="15.75" x14ac:dyDescent="0.2">
      <c r="A12" s="41" t="s">
        <v>373</v>
      </c>
      <c r="B12" s="310"/>
      <c r="C12" s="311"/>
      <c r="D12" s="169"/>
      <c r="E12" s="36"/>
      <c r="F12" s="310"/>
      <c r="G12" s="311"/>
      <c r="H12" s="169"/>
      <c r="I12" s="169"/>
      <c r="J12" s="312"/>
      <c r="K12" s="313"/>
      <c r="L12" s="372"/>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95"/>
      <c r="C18" s="695"/>
      <c r="D18" s="695"/>
      <c r="E18" s="297"/>
      <c r="F18" s="695"/>
      <c r="G18" s="695"/>
      <c r="H18" s="695"/>
      <c r="I18" s="297"/>
      <c r="J18" s="695"/>
      <c r="K18" s="695"/>
      <c r="L18" s="695"/>
      <c r="M18" s="297"/>
    </row>
    <row r="19" spans="1:14" x14ac:dyDescent="0.2">
      <c r="A19" s="144"/>
      <c r="B19" s="696" t="s">
        <v>0</v>
      </c>
      <c r="C19" s="697"/>
      <c r="D19" s="697"/>
      <c r="E19" s="299"/>
      <c r="F19" s="696" t="s">
        <v>1</v>
      </c>
      <c r="G19" s="697"/>
      <c r="H19" s="697"/>
      <c r="I19" s="302"/>
      <c r="J19" s="696" t="s">
        <v>2</v>
      </c>
      <c r="K19" s="697"/>
      <c r="L19" s="697"/>
      <c r="M19" s="302"/>
    </row>
    <row r="20" spans="1:14" x14ac:dyDescent="0.2">
      <c r="A20" s="140" t="s">
        <v>5</v>
      </c>
      <c r="B20" s="152" t="s">
        <v>422</v>
      </c>
      <c r="C20" s="152" t="s">
        <v>423</v>
      </c>
      <c r="D20" s="162" t="s">
        <v>3</v>
      </c>
      <c r="E20" s="303" t="s">
        <v>29</v>
      </c>
      <c r="F20" s="152" t="s">
        <v>422</v>
      </c>
      <c r="G20" s="152" t="s">
        <v>423</v>
      </c>
      <c r="H20" s="162" t="s">
        <v>3</v>
      </c>
      <c r="I20" s="162" t="s">
        <v>29</v>
      </c>
      <c r="J20" s="152" t="s">
        <v>422</v>
      </c>
      <c r="K20" s="152" t="s">
        <v>423</v>
      </c>
      <c r="L20" s="162" t="s">
        <v>3</v>
      </c>
      <c r="M20" s="162" t="s">
        <v>29</v>
      </c>
    </row>
    <row r="21" spans="1:14" x14ac:dyDescent="0.2">
      <c r="A21" s="666"/>
      <c r="B21" s="156"/>
      <c r="C21" s="156"/>
      <c r="D21" s="244" t="s">
        <v>4</v>
      </c>
      <c r="E21" s="156" t="s">
        <v>30</v>
      </c>
      <c r="F21" s="161"/>
      <c r="G21" s="161"/>
      <c r="H21" s="243" t="s">
        <v>4</v>
      </c>
      <c r="I21" s="156" t="s">
        <v>30</v>
      </c>
      <c r="J21" s="161"/>
      <c r="K21" s="161"/>
      <c r="L21" s="156" t="s">
        <v>4</v>
      </c>
      <c r="M21" s="156" t="s">
        <v>30</v>
      </c>
    </row>
    <row r="22" spans="1:14" ht="15.75" x14ac:dyDescent="0.2">
      <c r="A22" s="14" t="s">
        <v>23</v>
      </c>
      <c r="B22" s="308"/>
      <c r="C22" s="308"/>
      <c r="D22" s="347"/>
      <c r="E22" s="11"/>
      <c r="F22" s="316"/>
      <c r="G22" s="316"/>
      <c r="H22" s="347"/>
      <c r="I22" s="11"/>
      <c r="J22" s="314"/>
      <c r="K22" s="314"/>
      <c r="L22" s="370"/>
      <c r="M22" s="24"/>
    </row>
    <row r="23" spans="1:14" ht="15.75" x14ac:dyDescent="0.2">
      <c r="A23" s="551" t="s">
        <v>374</v>
      </c>
      <c r="B23" s="279"/>
      <c r="C23" s="279"/>
      <c r="D23" s="166"/>
      <c r="E23" s="11"/>
      <c r="F23" s="288"/>
      <c r="G23" s="288"/>
      <c r="H23" s="166"/>
      <c r="I23" s="363"/>
      <c r="J23" s="288"/>
      <c r="K23" s="288"/>
      <c r="L23" s="166"/>
      <c r="M23" s="23"/>
    </row>
    <row r="24" spans="1:14" ht="15.75" x14ac:dyDescent="0.2">
      <c r="A24" s="551" t="s">
        <v>375</v>
      </c>
      <c r="B24" s="279"/>
      <c r="C24" s="279"/>
      <c r="D24" s="166"/>
      <c r="E24" s="11"/>
      <c r="F24" s="288"/>
      <c r="G24" s="288"/>
      <c r="H24" s="166"/>
      <c r="I24" s="363"/>
      <c r="J24" s="288"/>
      <c r="K24" s="288"/>
      <c r="L24" s="166"/>
      <c r="M24" s="23"/>
    </row>
    <row r="25" spans="1:14" ht="15.75" x14ac:dyDescent="0.2">
      <c r="A25" s="551" t="s">
        <v>376</v>
      </c>
      <c r="B25" s="279"/>
      <c r="C25" s="279"/>
      <c r="D25" s="166"/>
      <c r="E25" s="11"/>
      <c r="F25" s="288"/>
      <c r="G25" s="288"/>
      <c r="H25" s="166"/>
      <c r="I25" s="363"/>
      <c r="J25" s="288"/>
      <c r="K25" s="288"/>
      <c r="L25" s="166"/>
      <c r="M25" s="23"/>
    </row>
    <row r="26" spans="1:14" ht="15.75" x14ac:dyDescent="0.2">
      <c r="A26" s="551" t="s">
        <v>377</v>
      </c>
      <c r="B26" s="279"/>
      <c r="C26" s="279"/>
      <c r="D26" s="166"/>
      <c r="E26" s="11"/>
      <c r="F26" s="288"/>
      <c r="G26" s="288"/>
      <c r="H26" s="166"/>
      <c r="I26" s="363"/>
      <c r="J26" s="288"/>
      <c r="K26" s="288"/>
      <c r="L26" s="166"/>
      <c r="M26" s="23"/>
    </row>
    <row r="27" spans="1:14" x14ac:dyDescent="0.2">
      <c r="A27" s="551" t="s">
        <v>11</v>
      </c>
      <c r="B27" s="279"/>
      <c r="C27" s="279"/>
      <c r="D27" s="166"/>
      <c r="E27" s="11"/>
      <c r="F27" s="288"/>
      <c r="G27" s="288"/>
      <c r="H27" s="166"/>
      <c r="I27" s="363"/>
      <c r="J27" s="288"/>
      <c r="K27" s="288"/>
      <c r="L27" s="166"/>
      <c r="M27" s="23"/>
    </row>
    <row r="28" spans="1:14" ht="15.75" x14ac:dyDescent="0.2">
      <c r="A28" s="49" t="s">
        <v>282</v>
      </c>
      <c r="B28" s="44"/>
      <c r="C28" s="285"/>
      <c r="D28" s="166"/>
      <c r="E28" s="11"/>
      <c r="F28" s="232"/>
      <c r="G28" s="285"/>
      <c r="H28" s="166"/>
      <c r="I28" s="27"/>
      <c r="J28" s="44"/>
      <c r="K28" s="44"/>
      <c r="L28" s="252"/>
      <c r="M28" s="23"/>
    </row>
    <row r="29" spans="1:14" s="3" customFormat="1" ht="15.75" x14ac:dyDescent="0.2">
      <c r="A29" s="13" t="s">
        <v>371</v>
      </c>
      <c r="B29" s="234"/>
      <c r="C29" s="234"/>
      <c r="D29" s="171"/>
      <c r="E29" s="11"/>
      <c r="F29" s="306"/>
      <c r="G29" s="306"/>
      <c r="H29" s="171"/>
      <c r="I29" s="11"/>
      <c r="J29" s="234"/>
      <c r="K29" s="234"/>
      <c r="L29" s="371"/>
      <c r="M29" s="24"/>
      <c r="N29" s="148"/>
    </row>
    <row r="30" spans="1:14" s="3" customFormat="1" ht="15.75" x14ac:dyDescent="0.2">
      <c r="A30" s="551" t="s">
        <v>374</v>
      </c>
      <c r="B30" s="279"/>
      <c r="C30" s="279"/>
      <c r="D30" s="166"/>
      <c r="E30" s="11"/>
      <c r="F30" s="288"/>
      <c r="G30" s="288"/>
      <c r="H30" s="166"/>
      <c r="I30" s="363"/>
      <c r="J30" s="288"/>
      <c r="K30" s="288"/>
      <c r="L30" s="166"/>
      <c r="M30" s="23"/>
      <c r="N30" s="148"/>
    </row>
    <row r="31" spans="1:14" s="3" customFormat="1" ht="15.75" x14ac:dyDescent="0.2">
      <c r="A31" s="551" t="s">
        <v>375</v>
      </c>
      <c r="B31" s="279"/>
      <c r="C31" s="279"/>
      <c r="D31" s="166"/>
      <c r="E31" s="11"/>
      <c r="F31" s="288"/>
      <c r="G31" s="288"/>
      <c r="H31" s="166"/>
      <c r="I31" s="363"/>
      <c r="J31" s="288"/>
      <c r="K31" s="288"/>
      <c r="L31" s="166"/>
      <c r="M31" s="23"/>
      <c r="N31" s="148"/>
    </row>
    <row r="32" spans="1:14" ht="15.75" x14ac:dyDescent="0.2">
      <c r="A32" s="551" t="s">
        <v>376</v>
      </c>
      <c r="B32" s="279"/>
      <c r="C32" s="279"/>
      <c r="D32" s="166"/>
      <c r="E32" s="11"/>
      <c r="F32" s="288"/>
      <c r="G32" s="288"/>
      <c r="H32" s="166"/>
      <c r="I32" s="363"/>
      <c r="J32" s="288"/>
      <c r="K32" s="288"/>
      <c r="L32" s="166"/>
      <c r="M32" s="23"/>
    </row>
    <row r="33" spans="1:14" ht="15.75" x14ac:dyDescent="0.2">
      <c r="A33" s="551" t="s">
        <v>377</v>
      </c>
      <c r="B33" s="279"/>
      <c r="C33" s="279"/>
      <c r="D33" s="166"/>
      <c r="E33" s="11"/>
      <c r="F33" s="288"/>
      <c r="G33" s="288"/>
      <c r="H33" s="166"/>
      <c r="I33" s="363"/>
      <c r="J33" s="288"/>
      <c r="K33" s="288"/>
      <c r="L33" s="166"/>
      <c r="M33" s="23"/>
    </row>
    <row r="34" spans="1:14" ht="15.75" x14ac:dyDescent="0.2">
      <c r="A34" s="13" t="s">
        <v>372</v>
      </c>
      <c r="B34" s="234"/>
      <c r="C34" s="307"/>
      <c r="D34" s="171"/>
      <c r="E34" s="11"/>
      <c r="F34" s="306"/>
      <c r="G34" s="307"/>
      <c r="H34" s="171"/>
      <c r="I34" s="11"/>
      <c r="J34" s="234"/>
      <c r="K34" s="234"/>
      <c r="L34" s="371"/>
      <c r="M34" s="24"/>
    </row>
    <row r="35" spans="1:14" ht="15.75" x14ac:dyDescent="0.2">
      <c r="A35" s="13" t="s">
        <v>373</v>
      </c>
      <c r="B35" s="234"/>
      <c r="C35" s="307"/>
      <c r="D35" s="171"/>
      <c r="E35" s="11"/>
      <c r="F35" s="306"/>
      <c r="G35" s="307"/>
      <c r="H35" s="171"/>
      <c r="I35" s="11"/>
      <c r="J35" s="234"/>
      <c r="K35" s="234"/>
      <c r="L35" s="371"/>
      <c r="M35" s="24"/>
    </row>
    <row r="36" spans="1:14" ht="15.75" x14ac:dyDescent="0.2">
      <c r="A36" s="12" t="s">
        <v>290</v>
      </c>
      <c r="B36" s="234"/>
      <c r="C36" s="307"/>
      <c r="D36" s="171"/>
      <c r="E36" s="11"/>
      <c r="F36" s="317"/>
      <c r="G36" s="318"/>
      <c r="H36" s="171"/>
      <c r="I36" s="377"/>
      <c r="J36" s="234"/>
      <c r="K36" s="234"/>
      <c r="L36" s="371"/>
      <c r="M36" s="24"/>
    </row>
    <row r="37" spans="1:14" ht="15.75" x14ac:dyDescent="0.2">
      <c r="A37" s="12" t="s">
        <v>379</v>
      </c>
      <c r="B37" s="234"/>
      <c r="C37" s="307"/>
      <c r="D37" s="171"/>
      <c r="E37" s="11"/>
      <c r="F37" s="317"/>
      <c r="G37" s="319"/>
      <c r="H37" s="171"/>
      <c r="I37" s="377"/>
      <c r="J37" s="234"/>
      <c r="K37" s="234"/>
      <c r="L37" s="371"/>
      <c r="M37" s="24"/>
    </row>
    <row r="38" spans="1:14" ht="15.75" x14ac:dyDescent="0.2">
      <c r="A38" s="12" t="s">
        <v>380</v>
      </c>
      <c r="B38" s="234"/>
      <c r="C38" s="307"/>
      <c r="D38" s="171"/>
      <c r="E38" s="24"/>
      <c r="F38" s="317"/>
      <c r="G38" s="318"/>
      <c r="H38" s="171"/>
      <c r="I38" s="377"/>
      <c r="J38" s="234"/>
      <c r="K38" s="234"/>
      <c r="L38" s="371"/>
      <c r="M38" s="24"/>
    </row>
    <row r="39" spans="1:14" ht="15.75" x14ac:dyDescent="0.2">
      <c r="A39" s="18" t="s">
        <v>381</v>
      </c>
      <c r="B39" s="274"/>
      <c r="C39" s="313"/>
      <c r="D39" s="169"/>
      <c r="E39" s="36"/>
      <c r="F39" s="320"/>
      <c r="G39" s="321"/>
      <c r="H39" s="169"/>
      <c r="I39" s="36"/>
      <c r="J39" s="234"/>
      <c r="K39" s="234"/>
      <c r="L39" s="372"/>
      <c r="M39" s="36"/>
    </row>
    <row r="40" spans="1:14" ht="15.75" x14ac:dyDescent="0.25">
      <c r="A40" s="47"/>
      <c r="B40" s="251"/>
      <c r="C40" s="251"/>
      <c r="D40" s="699"/>
      <c r="E40" s="699"/>
      <c r="F40" s="699"/>
      <c r="G40" s="699"/>
      <c r="H40" s="699"/>
      <c r="I40" s="699"/>
      <c r="J40" s="699"/>
      <c r="K40" s="699"/>
      <c r="L40" s="699"/>
      <c r="M40" s="300"/>
    </row>
    <row r="41" spans="1:14" x14ac:dyDescent="0.2">
      <c r="A41" s="155"/>
    </row>
    <row r="42" spans="1:14" ht="15.75" x14ac:dyDescent="0.25">
      <c r="A42" s="147" t="s">
        <v>279</v>
      </c>
      <c r="B42" s="700"/>
      <c r="C42" s="700"/>
      <c r="D42" s="700"/>
      <c r="E42" s="297"/>
      <c r="F42" s="701"/>
      <c r="G42" s="701"/>
      <c r="H42" s="701"/>
      <c r="I42" s="300"/>
      <c r="J42" s="701"/>
      <c r="K42" s="701"/>
      <c r="L42" s="701"/>
      <c r="M42" s="300"/>
    </row>
    <row r="43" spans="1:14" ht="15.75" x14ac:dyDescent="0.25">
      <c r="A43" s="163"/>
      <c r="B43" s="301"/>
      <c r="C43" s="301"/>
      <c r="D43" s="301"/>
      <c r="E43" s="301"/>
      <c r="F43" s="300"/>
      <c r="G43" s="300"/>
      <c r="H43" s="300"/>
      <c r="I43" s="300"/>
      <c r="J43" s="300"/>
      <c r="K43" s="300"/>
      <c r="L43" s="300"/>
      <c r="M43" s="300"/>
    </row>
    <row r="44" spans="1:14" ht="15.75" x14ac:dyDescent="0.25">
      <c r="A44" s="245"/>
      <c r="B44" s="696" t="s">
        <v>0</v>
      </c>
      <c r="C44" s="697"/>
      <c r="D44" s="697"/>
      <c r="E44" s="241"/>
      <c r="F44" s="300"/>
      <c r="G44" s="300"/>
      <c r="H44" s="300"/>
      <c r="I44" s="300"/>
      <c r="J44" s="300"/>
      <c r="K44" s="300"/>
      <c r="L44" s="300"/>
      <c r="M44" s="300"/>
    </row>
    <row r="45" spans="1:14" s="3" customFormat="1" x14ac:dyDescent="0.2">
      <c r="A45" s="140"/>
      <c r="B45" s="152" t="s">
        <v>422</v>
      </c>
      <c r="C45" s="152" t="s">
        <v>423</v>
      </c>
      <c r="D45" s="162" t="s">
        <v>3</v>
      </c>
      <c r="E45" s="162" t="s">
        <v>29</v>
      </c>
      <c r="F45" s="174"/>
      <c r="G45" s="174"/>
      <c r="H45" s="173"/>
      <c r="I45" s="173"/>
      <c r="J45" s="174"/>
      <c r="K45" s="174"/>
      <c r="L45" s="173"/>
      <c r="M45" s="173"/>
      <c r="N45" s="148"/>
    </row>
    <row r="46" spans="1:14" s="3" customFormat="1" x14ac:dyDescent="0.2">
      <c r="A46" s="666"/>
      <c r="B46" s="242"/>
      <c r="C46" s="242"/>
      <c r="D46" s="243" t="s">
        <v>4</v>
      </c>
      <c r="E46" s="156" t="s">
        <v>30</v>
      </c>
      <c r="F46" s="173"/>
      <c r="G46" s="173"/>
      <c r="H46" s="173"/>
      <c r="I46" s="173"/>
      <c r="J46" s="173"/>
      <c r="K46" s="173"/>
      <c r="L46" s="173"/>
      <c r="M46" s="173"/>
      <c r="N46" s="148"/>
    </row>
    <row r="47" spans="1:14" s="3" customFormat="1" ht="15.75" x14ac:dyDescent="0.2">
      <c r="A47" s="14" t="s">
        <v>23</v>
      </c>
      <c r="B47" s="308">
        <v>677503</v>
      </c>
      <c r="C47" s="309">
        <v>652370</v>
      </c>
      <c r="D47" s="370">
        <f t="shared" ref="D47:D57" si="3">IF(B47=0, "    ---- ", IF(ABS(ROUND(100/B47*C47-100,1))&lt;999,ROUND(100/B47*C47-100,1),IF(ROUND(100/B47*C47-100,1)&gt;999,999,-999)))</f>
        <v>-3.7</v>
      </c>
      <c r="E47" s="11">
        <f>IFERROR(100/'Skjema total MA'!C47*C47,0)</f>
        <v>20.206566030697179</v>
      </c>
      <c r="F47" s="145"/>
      <c r="G47" s="33"/>
      <c r="H47" s="159"/>
      <c r="I47" s="159"/>
      <c r="J47" s="37"/>
      <c r="K47" s="37"/>
      <c r="L47" s="159"/>
      <c r="M47" s="159"/>
      <c r="N47" s="148"/>
    </row>
    <row r="48" spans="1:14" s="3" customFormat="1" ht="15.75" x14ac:dyDescent="0.2">
      <c r="A48" s="38" t="s">
        <v>382</v>
      </c>
      <c r="B48" s="279">
        <v>375332</v>
      </c>
      <c r="C48" s="280">
        <v>401112</v>
      </c>
      <c r="D48" s="252">
        <f t="shared" si="3"/>
        <v>6.9</v>
      </c>
      <c r="E48" s="27">
        <f>IFERROR(100/'Skjema total MA'!C48*C48,0)</f>
        <v>22.075283783147903</v>
      </c>
      <c r="F48" s="145"/>
      <c r="G48" s="33"/>
      <c r="H48" s="145"/>
      <c r="I48" s="145"/>
      <c r="J48" s="33"/>
      <c r="K48" s="33"/>
      <c r="L48" s="159"/>
      <c r="M48" s="159"/>
      <c r="N48" s="148"/>
    </row>
    <row r="49" spans="1:14" s="3" customFormat="1" ht="15.75" x14ac:dyDescent="0.2">
      <c r="A49" s="38" t="s">
        <v>383</v>
      </c>
      <c r="B49" s="44">
        <v>302171</v>
      </c>
      <c r="C49" s="285">
        <v>251258</v>
      </c>
      <c r="D49" s="252">
        <f>IF(B49=0, "    ---- ", IF(ABS(ROUND(100/B49*C49-100,1))&lt;999,ROUND(100/B49*C49-100,1),IF(ROUND(100/B49*C49-100,1)&gt;999,999,-999)))</f>
        <v>-16.8</v>
      </c>
      <c r="E49" s="27">
        <f>IFERROR(100/'Skjema total MA'!C49*C49,0)</f>
        <v>17.800949787117787</v>
      </c>
      <c r="F49" s="145"/>
      <c r="G49" s="33"/>
      <c r="H49" s="145"/>
      <c r="I49" s="145"/>
      <c r="J49" s="37"/>
      <c r="K49" s="37"/>
      <c r="L49" s="159"/>
      <c r="M49" s="159"/>
      <c r="N49" s="148"/>
    </row>
    <row r="50" spans="1:14" s="3" customFormat="1" x14ac:dyDescent="0.2">
      <c r="A50" s="294" t="s">
        <v>6</v>
      </c>
      <c r="B50" s="288" t="s">
        <v>415</v>
      </c>
      <c r="C50" s="289" t="s">
        <v>415</v>
      </c>
      <c r="D50" s="252"/>
      <c r="E50" s="23"/>
      <c r="F50" s="145"/>
      <c r="G50" s="33"/>
      <c r="H50" s="145"/>
      <c r="I50" s="145"/>
      <c r="J50" s="33"/>
      <c r="K50" s="33"/>
      <c r="L50" s="159"/>
      <c r="M50" s="159"/>
      <c r="N50" s="148"/>
    </row>
    <row r="51" spans="1:14" s="3" customFormat="1" x14ac:dyDescent="0.2">
      <c r="A51" s="294" t="s">
        <v>7</v>
      </c>
      <c r="B51" s="288" t="s">
        <v>415</v>
      </c>
      <c r="C51" s="289" t="s">
        <v>415</v>
      </c>
      <c r="D51" s="252"/>
      <c r="E51" s="23"/>
      <c r="F51" s="145"/>
      <c r="G51" s="33"/>
      <c r="H51" s="145"/>
      <c r="I51" s="145"/>
      <c r="J51" s="33"/>
      <c r="K51" s="33"/>
      <c r="L51" s="159"/>
      <c r="M51" s="159"/>
      <c r="N51" s="148"/>
    </row>
    <row r="52" spans="1:14" s="3" customFormat="1" x14ac:dyDescent="0.2">
      <c r="A52" s="294" t="s">
        <v>8</v>
      </c>
      <c r="B52" s="288" t="s">
        <v>415</v>
      </c>
      <c r="C52" s="289" t="s">
        <v>415</v>
      </c>
      <c r="D52" s="252"/>
      <c r="E52" s="23"/>
      <c r="F52" s="145"/>
      <c r="G52" s="33"/>
      <c r="H52" s="145"/>
      <c r="I52" s="145"/>
      <c r="J52" s="33"/>
      <c r="K52" s="33"/>
      <c r="L52" s="159"/>
      <c r="M52" s="159"/>
      <c r="N52" s="148"/>
    </row>
    <row r="53" spans="1:14" s="3" customFormat="1" ht="15.75" x14ac:dyDescent="0.2">
      <c r="A53" s="39" t="s">
        <v>384</v>
      </c>
      <c r="B53" s="308">
        <v>42889</v>
      </c>
      <c r="C53" s="309">
        <v>24841</v>
      </c>
      <c r="D53" s="371">
        <f t="shared" si="3"/>
        <v>-42.1</v>
      </c>
      <c r="E53" s="11">
        <f>IFERROR(100/'Skjema total MA'!C53*C53,0)</f>
        <v>13.023425882719167</v>
      </c>
      <c r="F53" s="145"/>
      <c r="G53" s="33"/>
      <c r="H53" s="145"/>
      <c r="I53" s="145"/>
      <c r="J53" s="33"/>
      <c r="K53" s="33"/>
      <c r="L53" s="159"/>
      <c r="M53" s="159"/>
      <c r="N53" s="148"/>
    </row>
    <row r="54" spans="1:14" s="3" customFormat="1" ht="15.75" x14ac:dyDescent="0.2">
      <c r="A54" s="38" t="s">
        <v>382</v>
      </c>
      <c r="B54" s="279">
        <v>42889</v>
      </c>
      <c r="C54" s="280">
        <v>24841</v>
      </c>
      <c r="D54" s="252">
        <f t="shared" si="3"/>
        <v>-42.1</v>
      </c>
      <c r="E54" s="27">
        <f>IFERROR(100/'Skjema total MA'!C54*C54,0)</f>
        <v>23.958165095242123</v>
      </c>
      <c r="F54" s="145"/>
      <c r="G54" s="33"/>
      <c r="H54" s="145"/>
      <c r="I54" s="145"/>
      <c r="J54" s="33"/>
      <c r="K54" s="33"/>
      <c r="L54" s="159"/>
      <c r="M54" s="159"/>
      <c r="N54" s="148"/>
    </row>
    <row r="55" spans="1:14" s="3" customFormat="1" ht="15.75" x14ac:dyDescent="0.2">
      <c r="A55" s="38" t="s">
        <v>383</v>
      </c>
      <c r="B55" s="279"/>
      <c r="C55" s="280"/>
      <c r="D55" s="252"/>
      <c r="E55" s="27"/>
      <c r="F55" s="145"/>
      <c r="G55" s="33"/>
      <c r="H55" s="145"/>
      <c r="I55" s="145"/>
      <c r="J55" s="33"/>
      <c r="K55" s="33"/>
      <c r="L55" s="159"/>
      <c r="M55" s="159"/>
      <c r="N55" s="148"/>
    </row>
    <row r="56" spans="1:14" s="3" customFormat="1" ht="15.75" x14ac:dyDescent="0.2">
      <c r="A56" s="39" t="s">
        <v>385</v>
      </c>
      <c r="B56" s="308">
        <v>33424</v>
      </c>
      <c r="C56" s="309">
        <v>103627</v>
      </c>
      <c r="D56" s="371">
        <f t="shared" si="3"/>
        <v>210</v>
      </c>
      <c r="E56" s="11">
        <f>IFERROR(100/'Skjema total MA'!C56*C56,0)</f>
        <v>66.605387250837907</v>
      </c>
      <c r="F56" s="145"/>
      <c r="G56" s="33"/>
      <c r="H56" s="145"/>
      <c r="I56" s="145"/>
      <c r="J56" s="33"/>
      <c r="K56" s="33"/>
      <c r="L56" s="159"/>
      <c r="M56" s="159"/>
      <c r="N56" s="148"/>
    </row>
    <row r="57" spans="1:14" s="3" customFormat="1" ht="15.75" x14ac:dyDescent="0.2">
      <c r="A57" s="38" t="s">
        <v>382</v>
      </c>
      <c r="B57" s="279">
        <v>33424</v>
      </c>
      <c r="C57" s="280">
        <v>37595</v>
      </c>
      <c r="D57" s="252">
        <f t="shared" si="3"/>
        <v>12.5</v>
      </c>
      <c r="E57" s="27">
        <f>IFERROR(100/'Skjema total MA'!C57*C57,0)</f>
        <v>42.245846034898939</v>
      </c>
      <c r="F57" s="145"/>
      <c r="G57" s="33"/>
      <c r="H57" s="145"/>
      <c r="I57" s="145"/>
      <c r="J57" s="33"/>
      <c r="K57" s="33"/>
      <c r="L57" s="159"/>
      <c r="M57" s="159"/>
      <c r="N57" s="148"/>
    </row>
    <row r="58" spans="1:14" s="3" customFormat="1" ht="15.75" x14ac:dyDescent="0.2">
      <c r="A58" s="46" t="s">
        <v>383</v>
      </c>
      <c r="B58" s="281"/>
      <c r="C58" s="282"/>
      <c r="D58" s="253"/>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95"/>
      <c r="C62" s="695"/>
      <c r="D62" s="695"/>
      <c r="E62" s="297"/>
      <c r="F62" s="695"/>
      <c r="G62" s="695"/>
      <c r="H62" s="695"/>
      <c r="I62" s="297"/>
      <c r="J62" s="695"/>
      <c r="K62" s="695"/>
      <c r="L62" s="695"/>
      <c r="M62" s="297"/>
    </row>
    <row r="63" spans="1:14" x14ac:dyDescent="0.2">
      <c r="A63" s="144"/>
      <c r="B63" s="696" t="s">
        <v>0</v>
      </c>
      <c r="C63" s="697"/>
      <c r="D63" s="698"/>
      <c r="E63" s="298"/>
      <c r="F63" s="697" t="s">
        <v>1</v>
      </c>
      <c r="G63" s="697"/>
      <c r="H63" s="697"/>
      <c r="I63" s="302"/>
      <c r="J63" s="696" t="s">
        <v>2</v>
      </c>
      <c r="K63" s="697"/>
      <c r="L63" s="697"/>
      <c r="M63" s="302"/>
    </row>
    <row r="64" spans="1:14" x14ac:dyDescent="0.2">
      <c r="A64" s="140"/>
      <c r="B64" s="152" t="s">
        <v>422</v>
      </c>
      <c r="C64" s="152" t="s">
        <v>423</v>
      </c>
      <c r="D64" s="243" t="s">
        <v>3</v>
      </c>
      <c r="E64" s="303" t="s">
        <v>29</v>
      </c>
      <c r="F64" s="152" t="s">
        <v>422</v>
      </c>
      <c r="G64" s="152" t="s">
        <v>423</v>
      </c>
      <c r="H64" s="243" t="s">
        <v>3</v>
      </c>
      <c r="I64" s="303" t="s">
        <v>29</v>
      </c>
      <c r="J64" s="152" t="s">
        <v>422</v>
      </c>
      <c r="K64" s="152" t="s">
        <v>423</v>
      </c>
      <c r="L64" s="243" t="s">
        <v>3</v>
      </c>
      <c r="M64" s="162" t="s">
        <v>29</v>
      </c>
    </row>
    <row r="65" spans="1:14" x14ac:dyDescent="0.2">
      <c r="A65" s="666"/>
      <c r="B65" s="156"/>
      <c r="C65" s="156"/>
      <c r="D65" s="244" t="s">
        <v>4</v>
      </c>
      <c r="E65" s="156" t="s">
        <v>30</v>
      </c>
      <c r="F65" s="161"/>
      <c r="G65" s="161"/>
      <c r="H65" s="243" t="s">
        <v>4</v>
      </c>
      <c r="I65" s="156" t="s">
        <v>30</v>
      </c>
      <c r="J65" s="161"/>
      <c r="K65" s="205"/>
      <c r="L65" s="156" t="s">
        <v>4</v>
      </c>
      <c r="M65" s="156" t="s">
        <v>30</v>
      </c>
    </row>
    <row r="66" spans="1:14" ht="15.75" x14ac:dyDescent="0.2">
      <c r="A66" s="14" t="s">
        <v>23</v>
      </c>
      <c r="B66" s="350"/>
      <c r="C66" s="350"/>
      <c r="D66" s="347"/>
      <c r="E66" s="11"/>
      <c r="F66" s="349"/>
      <c r="G66" s="349"/>
      <c r="H66" s="347"/>
      <c r="I66" s="11"/>
      <c r="J66" s="307"/>
      <c r="K66" s="314"/>
      <c r="L66" s="371"/>
      <c r="M66" s="11"/>
    </row>
    <row r="67" spans="1:14" x14ac:dyDescent="0.2">
      <c r="A67" s="365" t="s">
        <v>9</v>
      </c>
      <c r="B67" s="44"/>
      <c r="C67" s="145"/>
      <c r="D67" s="166"/>
      <c r="E67" s="27"/>
      <c r="F67" s="232"/>
      <c r="G67" s="145"/>
      <c r="H67" s="166"/>
      <c r="I67" s="27"/>
      <c r="J67" s="285"/>
      <c r="K67" s="44"/>
      <c r="L67" s="252"/>
      <c r="M67" s="27"/>
    </row>
    <row r="68" spans="1:14" x14ac:dyDescent="0.2">
      <c r="A68" s="21" t="s">
        <v>10</v>
      </c>
      <c r="B68" s="290"/>
      <c r="C68" s="291"/>
      <c r="D68" s="166"/>
      <c r="E68" s="27"/>
      <c r="F68" s="290"/>
      <c r="G68" s="291"/>
      <c r="H68" s="166"/>
      <c r="I68" s="27"/>
      <c r="J68" s="285"/>
      <c r="K68" s="44"/>
      <c r="L68" s="252"/>
      <c r="M68" s="27"/>
    </row>
    <row r="69" spans="1:14" ht="15.75" x14ac:dyDescent="0.2">
      <c r="A69" s="294" t="s">
        <v>386</v>
      </c>
      <c r="B69" s="279"/>
      <c r="C69" s="279"/>
      <c r="D69" s="166"/>
      <c r="E69" s="363"/>
      <c r="F69" s="279"/>
      <c r="G69" s="279"/>
      <c r="H69" s="166"/>
      <c r="I69" s="363"/>
      <c r="J69" s="288"/>
      <c r="K69" s="288"/>
      <c r="L69" s="166"/>
      <c r="M69" s="23"/>
    </row>
    <row r="70" spans="1:14" x14ac:dyDescent="0.2">
      <c r="A70" s="294" t="s">
        <v>12</v>
      </c>
      <c r="B70" s="292"/>
      <c r="C70" s="293"/>
      <c r="D70" s="166"/>
      <c r="E70" s="363"/>
      <c r="F70" s="279"/>
      <c r="G70" s="279"/>
      <c r="H70" s="166"/>
      <c r="I70" s="363"/>
      <c r="J70" s="288"/>
      <c r="K70" s="288"/>
      <c r="L70" s="166"/>
      <c r="M70" s="23"/>
    </row>
    <row r="71" spans="1:14" x14ac:dyDescent="0.2">
      <c r="A71" s="294" t="s">
        <v>13</v>
      </c>
      <c r="B71" s="233"/>
      <c r="C71" s="287"/>
      <c r="D71" s="166"/>
      <c r="E71" s="363"/>
      <c r="F71" s="279"/>
      <c r="G71" s="279"/>
      <c r="H71" s="166"/>
      <c r="I71" s="363"/>
      <c r="J71" s="288"/>
      <c r="K71" s="288"/>
      <c r="L71" s="166"/>
      <c r="M71" s="23"/>
    </row>
    <row r="72" spans="1:14" ht="15.75" x14ac:dyDescent="0.2">
      <c r="A72" s="294" t="s">
        <v>387</v>
      </c>
      <c r="B72" s="279"/>
      <c r="C72" s="279"/>
      <c r="D72" s="166"/>
      <c r="E72" s="363"/>
      <c r="F72" s="279"/>
      <c r="G72" s="279"/>
      <c r="H72" s="166"/>
      <c r="I72" s="363"/>
      <c r="J72" s="288"/>
      <c r="K72" s="288"/>
      <c r="L72" s="166"/>
      <c r="M72" s="23"/>
    </row>
    <row r="73" spans="1:14" x14ac:dyDescent="0.2">
      <c r="A73" s="294" t="s">
        <v>12</v>
      </c>
      <c r="B73" s="233"/>
      <c r="C73" s="287"/>
      <c r="D73" s="166"/>
      <c r="E73" s="363"/>
      <c r="F73" s="279"/>
      <c r="G73" s="279"/>
      <c r="H73" s="166"/>
      <c r="I73" s="363"/>
      <c r="J73" s="288"/>
      <c r="K73" s="288"/>
      <c r="L73" s="166"/>
      <c r="M73" s="23"/>
    </row>
    <row r="74" spans="1:14" s="3" customFormat="1" x14ac:dyDescent="0.2">
      <c r="A74" s="294" t="s">
        <v>13</v>
      </c>
      <c r="B74" s="233"/>
      <c r="C74" s="287"/>
      <c r="D74" s="166"/>
      <c r="E74" s="363"/>
      <c r="F74" s="279"/>
      <c r="G74" s="279"/>
      <c r="H74" s="166"/>
      <c r="I74" s="363"/>
      <c r="J74" s="288"/>
      <c r="K74" s="288"/>
      <c r="L74" s="166"/>
      <c r="M74" s="23"/>
      <c r="N74" s="148"/>
    </row>
    <row r="75" spans="1:14" s="3" customFormat="1" x14ac:dyDescent="0.2">
      <c r="A75" s="21" t="s">
        <v>356</v>
      </c>
      <c r="B75" s="232"/>
      <c r="C75" s="145"/>
      <c r="D75" s="166"/>
      <c r="E75" s="27"/>
      <c r="F75" s="232"/>
      <c r="G75" s="145"/>
      <c r="H75" s="166"/>
      <c r="I75" s="27"/>
      <c r="J75" s="285"/>
      <c r="K75" s="44"/>
      <c r="L75" s="252"/>
      <c r="M75" s="27"/>
      <c r="N75" s="148"/>
    </row>
    <row r="76" spans="1:14" s="3" customFormat="1" x14ac:dyDescent="0.2">
      <c r="A76" s="21" t="s">
        <v>355</v>
      </c>
      <c r="B76" s="232"/>
      <c r="C76" s="145"/>
      <c r="D76" s="166"/>
      <c r="E76" s="27"/>
      <c r="F76" s="232"/>
      <c r="G76" s="145"/>
      <c r="H76" s="166"/>
      <c r="I76" s="27"/>
      <c r="J76" s="285"/>
      <c r="K76" s="44"/>
      <c r="L76" s="252"/>
      <c r="M76" s="27"/>
      <c r="N76" s="148"/>
    </row>
    <row r="77" spans="1:14" ht="15.75" x14ac:dyDescent="0.2">
      <c r="A77" s="21" t="s">
        <v>388</v>
      </c>
      <c r="B77" s="232"/>
      <c r="C77" s="232"/>
      <c r="D77" s="166"/>
      <c r="E77" s="27"/>
      <c r="F77" s="232"/>
      <c r="G77" s="145"/>
      <c r="H77" s="166"/>
      <c r="I77" s="27"/>
      <c r="J77" s="285"/>
      <c r="K77" s="44"/>
      <c r="L77" s="252"/>
      <c r="M77" s="27"/>
    </row>
    <row r="78" spans="1:14" x14ac:dyDescent="0.2">
      <c r="A78" s="21" t="s">
        <v>9</v>
      </c>
      <c r="B78" s="232"/>
      <c r="C78" s="145"/>
      <c r="D78" s="166"/>
      <c r="E78" s="27"/>
      <c r="F78" s="232"/>
      <c r="G78" s="145"/>
      <c r="H78" s="166"/>
      <c r="I78" s="27"/>
      <c r="J78" s="285"/>
      <c r="K78" s="44"/>
      <c r="L78" s="252"/>
      <c r="M78" s="27"/>
    </row>
    <row r="79" spans="1:14" x14ac:dyDescent="0.2">
      <c r="A79" s="21" t="s">
        <v>10</v>
      </c>
      <c r="B79" s="290"/>
      <c r="C79" s="291"/>
      <c r="D79" s="166"/>
      <c r="E79" s="27"/>
      <c r="F79" s="290"/>
      <c r="G79" s="291"/>
      <c r="H79" s="166"/>
      <c r="I79" s="27"/>
      <c r="J79" s="285"/>
      <c r="K79" s="44"/>
      <c r="L79" s="252"/>
      <c r="M79" s="27"/>
    </row>
    <row r="80" spans="1:14" ht="15.75" x14ac:dyDescent="0.2">
      <c r="A80" s="294" t="s">
        <v>386</v>
      </c>
      <c r="B80" s="279"/>
      <c r="C80" s="279"/>
      <c r="D80" s="166"/>
      <c r="E80" s="363"/>
      <c r="F80" s="279"/>
      <c r="G80" s="279"/>
      <c r="H80" s="166"/>
      <c r="I80" s="363"/>
      <c r="J80" s="288"/>
      <c r="K80" s="288"/>
      <c r="L80" s="166"/>
      <c r="M80" s="23"/>
    </row>
    <row r="81" spans="1:13" x14ac:dyDescent="0.2">
      <c r="A81" s="294" t="s">
        <v>12</v>
      </c>
      <c r="B81" s="233"/>
      <c r="C81" s="287"/>
      <c r="D81" s="166"/>
      <c r="E81" s="363"/>
      <c r="F81" s="279"/>
      <c r="G81" s="279"/>
      <c r="H81" s="166"/>
      <c r="I81" s="363"/>
      <c r="J81" s="288"/>
      <c r="K81" s="288"/>
      <c r="L81" s="166"/>
      <c r="M81" s="23"/>
    </row>
    <row r="82" spans="1:13" x14ac:dyDescent="0.2">
      <c r="A82" s="294" t="s">
        <v>13</v>
      </c>
      <c r="B82" s="233"/>
      <c r="C82" s="287"/>
      <c r="D82" s="166"/>
      <c r="E82" s="363"/>
      <c r="F82" s="279"/>
      <c r="G82" s="279"/>
      <c r="H82" s="166"/>
      <c r="I82" s="363"/>
      <c r="J82" s="288"/>
      <c r="K82" s="288"/>
      <c r="L82" s="166"/>
      <c r="M82" s="23"/>
    </row>
    <row r="83" spans="1:13" ht="15.75" x14ac:dyDescent="0.2">
      <c r="A83" s="294" t="s">
        <v>387</v>
      </c>
      <c r="B83" s="279"/>
      <c r="C83" s="279"/>
      <c r="D83" s="166"/>
      <c r="E83" s="363"/>
      <c r="F83" s="279"/>
      <c r="G83" s="279"/>
      <c r="H83" s="166"/>
      <c r="I83" s="363"/>
      <c r="J83" s="288"/>
      <c r="K83" s="288"/>
      <c r="L83" s="166"/>
      <c r="M83" s="23"/>
    </row>
    <row r="84" spans="1:13" x14ac:dyDescent="0.2">
      <c r="A84" s="294" t="s">
        <v>12</v>
      </c>
      <c r="B84" s="233"/>
      <c r="C84" s="287"/>
      <c r="D84" s="166"/>
      <c r="E84" s="363"/>
      <c r="F84" s="279"/>
      <c r="G84" s="279"/>
      <c r="H84" s="166"/>
      <c r="I84" s="363"/>
      <c r="J84" s="288"/>
      <c r="K84" s="288"/>
      <c r="L84" s="166"/>
      <c r="M84" s="23"/>
    </row>
    <row r="85" spans="1:13" x14ac:dyDescent="0.2">
      <c r="A85" s="294" t="s">
        <v>13</v>
      </c>
      <c r="B85" s="233"/>
      <c r="C85" s="287"/>
      <c r="D85" s="166"/>
      <c r="E85" s="363"/>
      <c r="F85" s="279"/>
      <c r="G85" s="279"/>
      <c r="H85" s="166"/>
      <c r="I85" s="363"/>
      <c r="J85" s="288"/>
      <c r="K85" s="288"/>
      <c r="L85" s="166"/>
      <c r="M85" s="23"/>
    </row>
    <row r="86" spans="1:13" ht="15.75" x14ac:dyDescent="0.2">
      <c r="A86" s="21" t="s">
        <v>389</v>
      </c>
      <c r="B86" s="232"/>
      <c r="C86" s="145"/>
      <c r="D86" s="166"/>
      <c r="E86" s="27"/>
      <c r="F86" s="232"/>
      <c r="G86" s="145"/>
      <c r="H86" s="166"/>
      <c r="I86" s="27"/>
      <c r="J86" s="285"/>
      <c r="K86" s="44"/>
      <c r="L86" s="252"/>
      <c r="M86" s="27"/>
    </row>
    <row r="87" spans="1:13" ht="15.75" x14ac:dyDescent="0.2">
      <c r="A87" s="13" t="s">
        <v>371</v>
      </c>
      <c r="B87" s="350"/>
      <c r="C87" s="350"/>
      <c r="D87" s="171"/>
      <c r="E87" s="11"/>
      <c r="F87" s="349"/>
      <c r="G87" s="349"/>
      <c r="H87" s="171"/>
      <c r="I87" s="11"/>
      <c r="J87" s="307"/>
      <c r="K87" s="234"/>
      <c r="L87" s="371"/>
      <c r="M87" s="11"/>
    </row>
    <row r="88" spans="1:13" x14ac:dyDescent="0.2">
      <c r="A88" s="21" t="s">
        <v>9</v>
      </c>
      <c r="B88" s="232"/>
      <c r="C88" s="145"/>
      <c r="D88" s="166"/>
      <c r="E88" s="27"/>
      <c r="F88" s="232"/>
      <c r="G88" s="145"/>
      <c r="H88" s="166"/>
      <c r="I88" s="27"/>
      <c r="J88" s="285"/>
      <c r="K88" s="44"/>
      <c r="L88" s="252"/>
      <c r="M88" s="27"/>
    </row>
    <row r="89" spans="1:13" x14ac:dyDescent="0.2">
      <c r="A89" s="21" t="s">
        <v>10</v>
      </c>
      <c r="B89" s="232"/>
      <c r="C89" s="145"/>
      <c r="D89" s="166"/>
      <c r="E89" s="27"/>
      <c r="F89" s="232"/>
      <c r="G89" s="145"/>
      <c r="H89" s="166"/>
      <c r="I89" s="27"/>
      <c r="J89" s="285"/>
      <c r="K89" s="44"/>
      <c r="L89" s="252"/>
      <c r="M89" s="27"/>
    </row>
    <row r="90" spans="1:13" ht="15.75" x14ac:dyDescent="0.2">
      <c r="A90" s="294" t="s">
        <v>386</v>
      </c>
      <c r="B90" s="279"/>
      <c r="C90" s="279"/>
      <c r="D90" s="166"/>
      <c r="E90" s="363"/>
      <c r="F90" s="279"/>
      <c r="G90" s="279"/>
      <c r="H90" s="166"/>
      <c r="I90" s="363"/>
      <c r="J90" s="288"/>
      <c r="K90" s="288"/>
      <c r="L90" s="166"/>
      <c r="M90" s="23"/>
    </row>
    <row r="91" spans="1:13" x14ac:dyDescent="0.2">
      <c r="A91" s="294" t="s">
        <v>12</v>
      </c>
      <c r="B91" s="233"/>
      <c r="C91" s="287"/>
      <c r="D91" s="166"/>
      <c r="E91" s="363"/>
      <c r="F91" s="279"/>
      <c r="G91" s="279"/>
      <c r="H91" s="166"/>
      <c r="I91" s="363"/>
      <c r="J91" s="288"/>
      <c r="K91" s="288"/>
      <c r="L91" s="166"/>
      <c r="M91" s="23"/>
    </row>
    <row r="92" spans="1:13" x14ac:dyDescent="0.2">
      <c r="A92" s="294" t="s">
        <v>13</v>
      </c>
      <c r="B92" s="233"/>
      <c r="C92" s="287"/>
      <c r="D92" s="166"/>
      <c r="E92" s="363"/>
      <c r="F92" s="279"/>
      <c r="G92" s="279"/>
      <c r="H92" s="166"/>
      <c r="I92" s="363"/>
      <c r="J92" s="288"/>
      <c r="K92" s="288"/>
      <c r="L92" s="166"/>
      <c r="M92" s="23"/>
    </row>
    <row r="93" spans="1:13" ht="15.75" x14ac:dyDescent="0.2">
      <c r="A93" s="294" t="s">
        <v>387</v>
      </c>
      <c r="B93" s="279"/>
      <c r="C93" s="279"/>
      <c r="D93" s="166"/>
      <c r="E93" s="363"/>
      <c r="F93" s="279"/>
      <c r="G93" s="279"/>
      <c r="H93" s="166"/>
      <c r="I93" s="363"/>
      <c r="J93" s="288"/>
      <c r="K93" s="288"/>
      <c r="L93" s="166"/>
      <c r="M93" s="23"/>
    </row>
    <row r="94" spans="1:13" x14ac:dyDescent="0.2">
      <c r="A94" s="294" t="s">
        <v>12</v>
      </c>
      <c r="B94" s="233"/>
      <c r="C94" s="287"/>
      <c r="D94" s="166"/>
      <c r="E94" s="363"/>
      <c r="F94" s="279"/>
      <c r="G94" s="279"/>
      <c r="H94" s="166"/>
      <c r="I94" s="363"/>
      <c r="J94" s="288"/>
      <c r="K94" s="288"/>
      <c r="L94" s="166"/>
      <c r="M94" s="23"/>
    </row>
    <row r="95" spans="1:13" x14ac:dyDescent="0.2">
      <c r="A95" s="294" t="s">
        <v>13</v>
      </c>
      <c r="B95" s="233"/>
      <c r="C95" s="287"/>
      <c r="D95" s="166"/>
      <c r="E95" s="363"/>
      <c r="F95" s="279"/>
      <c r="G95" s="279"/>
      <c r="H95" s="166"/>
      <c r="I95" s="363"/>
      <c r="J95" s="288"/>
      <c r="K95" s="288"/>
      <c r="L95" s="166"/>
      <c r="M95" s="23"/>
    </row>
    <row r="96" spans="1:13" x14ac:dyDescent="0.2">
      <c r="A96" s="21" t="s">
        <v>354</v>
      </c>
      <c r="B96" s="232"/>
      <c r="C96" s="145"/>
      <c r="D96" s="166"/>
      <c r="E96" s="27"/>
      <c r="F96" s="232"/>
      <c r="G96" s="145"/>
      <c r="H96" s="166"/>
      <c r="I96" s="27"/>
      <c r="J96" s="285"/>
      <c r="K96" s="44"/>
      <c r="L96" s="252"/>
      <c r="M96" s="27"/>
    </row>
    <row r="97" spans="1:13" x14ac:dyDescent="0.2">
      <c r="A97" s="21" t="s">
        <v>353</v>
      </c>
      <c r="B97" s="232"/>
      <c r="C97" s="145"/>
      <c r="D97" s="166"/>
      <c r="E97" s="27"/>
      <c r="F97" s="232"/>
      <c r="G97" s="145"/>
      <c r="H97" s="166"/>
      <c r="I97" s="27"/>
      <c r="J97" s="285"/>
      <c r="K97" s="44"/>
      <c r="L97" s="252"/>
      <c r="M97" s="27"/>
    </row>
    <row r="98" spans="1:13" ht="15.75" x14ac:dyDescent="0.2">
      <c r="A98" s="21" t="s">
        <v>388</v>
      </c>
      <c r="B98" s="232"/>
      <c r="C98" s="232"/>
      <c r="D98" s="166"/>
      <c r="E98" s="27"/>
      <c r="F98" s="290"/>
      <c r="G98" s="290"/>
      <c r="H98" s="166"/>
      <c r="I98" s="27"/>
      <c r="J98" s="285"/>
      <c r="K98" s="44"/>
      <c r="L98" s="252"/>
      <c r="M98" s="27"/>
    </row>
    <row r="99" spans="1:13" x14ac:dyDescent="0.2">
      <c r="A99" s="21" t="s">
        <v>9</v>
      </c>
      <c r="B99" s="290"/>
      <c r="C99" s="291"/>
      <c r="D99" s="166"/>
      <c r="E99" s="27"/>
      <c r="F99" s="232"/>
      <c r="G99" s="145"/>
      <c r="H99" s="166"/>
      <c r="I99" s="27"/>
      <c r="J99" s="285"/>
      <c r="K99" s="44"/>
      <c r="L99" s="252"/>
      <c r="M99" s="27"/>
    </row>
    <row r="100" spans="1:13" x14ac:dyDescent="0.2">
      <c r="A100" s="21" t="s">
        <v>10</v>
      </c>
      <c r="B100" s="290"/>
      <c r="C100" s="291"/>
      <c r="D100" s="166"/>
      <c r="E100" s="27"/>
      <c r="F100" s="232"/>
      <c r="G100" s="232"/>
      <c r="H100" s="166"/>
      <c r="I100" s="27"/>
      <c r="J100" s="285"/>
      <c r="K100" s="44"/>
      <c r="L100" s="252"/>
      <c r="M100" s="27"/>
    </row>
    <row r="101" spans="1:13" ht="15.75" x14ac:dyDescent="0.2">
      <c r="A101" s="294" t="s">
        <v>386</v>
      </c>
      <c r="B101" s="279"/>
      <c r="C101" s="279"/>
      <c r="D101" s="166"/>
      <c r="E101" s="363"/>
      <c r="F101" s="279"/>
      <c r="G101" s="279"/>
      <c r="H101" s="166"/>
      <c r="I101" s="363"/>
      <c r="J101" s="288"/>
      <c r="K101" s="288"/>
      <c r="L101" s="166"/>
      <c r="M101" s="23"/>
    </row>
    <row r="102" spans="1:13" x14ac:dyDescent="0.2">
      <c r="A102" s="294" t="s">
        <v>12</v>
      </c>
      <c r="B102" s="233"/>
      <c r="C102" s="287"/>
      <c r="D102" s="166"/>
      <c r="E102" s="363"/>
      <c r="F102" s="279"/>
      <c r="G102" s="279"/>
      <c r="H102" s="166"/>
      <c r="I102" s="363"/>
      <c r="J102" s="288"/>
      <c r="K102" s="288"/>
      <c r="L102" s="166"/>
      <c r="M102" s="23"/>
    </row>
    <row r="103" spans="1:13" x14ac:dyDescent="0.2">
      <c r="A103" s="294" t="s">
        <v>13</v>
      </c>
      <c r="B103" s="233"/>
      <c r="C103" s="287"/>
      <c r="D103" s="166"/>
      <c r="E103" s="363"/>
      <c r="F103" s="279"/>
      <c r="G103" s="279"/>
      <c r="H103" s="166"/>
      <c r="I103" s="363"/>
      <c r="J103" s="288"/>
      <c r="K103" s="288"/>
      <c r="L103" s="166"/>
      <c r="M103" s="23"/>
    </row>
    <row r="104" spans="1:13" ht="15.75" x14ac:dyDescent="0.2">
      <c r="A104" s="294" t="s">
        <v>387</v>
      </c>
      <c r="B104" s="279"/>
      <c r="C104" s="279"/>
      <c r="D104" s="166"/>
      <c r="E104" s="363"/>
      <c r="F104" s="279"/>
      <c r="G104" s="279"/>
      <c r="H104" s="166"/>
      <c r="I104" s="363"/>
      <c r="J104" s="288"/>
      <c r="K104" s="288"/>
      <c r="L104" s="166"/>
      <c r="M104" s="23"/>
    </row>
    <row r="105" spans="1:13" x14ac:dyDescent="0.2">
      <c r="A105" s="294" t="s">
        <v>12</v>
      </c>
      <c r="B105" s="233"/>
      <c r="C105" s="287"/>
      <c r="D105" s="166"/>
      <c r="E105" s="363"/>
      <c r="F105" s="279"/>
      <c r="G105" s="279"/>
      <c r="H105" s="166"/>
      <c r="I105" s="363"/>
      <c r="J105" s="288"/>
      <c r="K105" s="288"/>
      <c r="L105" s="166"/>
      <c r="M105" s="23"/>
    </row>
    <row r="106" spans="1:13" x14ac:dyDescent="0.2">
      <c r="A106" s="294" t="s">
        <v>13</v>
      </c>
      <c r="B106" s="233"/>
      <c r="C106" s="287"/>
      <c r="D106" s="166"/>
      <c r="E106" s="363"/>
      <c r="F106" s="279"/>
      <c r="G106" s="279"/>
      <c r="H106" s="166"/>
      <c r="I106" s="363"/>
      <c r="J106" s="288"/>
      <c r="K106" s="288"/>
      <c r="L106" s="166"/>
      <c r="M106" s="23"/>
    </row>
    <row r="107" spans="1:13" ht="15.75" x14ac:dyDescent="0.2">
      <c r="A107" s="21" t="s">
        <v>389</v>
      </c>
      <c r="B107" s="232"/>
      <c r="C107" s="145"/>
      <c r="D107" s="166"/>
      <c r="E107" s="27"/>
      <c r="F107" s="232"/>
      <c r="G107" s="145"/>
      <c r="H107" s="166"/>
      <c r="I107" s="27"/>
      <c r="J107" s="285"/>
      <c r="K107" s="44"/>
      <c r="L107" s="252"/>
      <c r="M107" s="27"/>
    </row>
    <row r="108" spans="1:13" ht="15.75" x14ac:dyDescent="0.2">
      <c r="A108" s="21" t="s">
        <v>390</v>
      </c>
      <c r="B108" s="232"/>
      <c r="C108" s="232"/>
      <c r="D108" s="166"/>
      <c r="E108" s="27"/>
      <c r="F108" s="232"/>
      <c r="G108" s="232"/>
      <c r="H108" s="166"/>
      <c r="I108" s="27"/>
      <c r="J108" s="285"/>
      <c r="K108" s="44"/>
      <c r="L108" s="252"/>
      <c r="M108" s="27"/>
    </row>
    <row r="109" spans="1:13" ht="15.75" x14ac:dyDescent="0.2">
      <c r="A109" s="21" t="s">
        <v>391</v>
      </c>
      <c r="B109" s="232"/>
      <c r="C109" s="232"/>
      <c r="D109" s="166"/>
      <c r="E109" s="27"/>
      <c r="F109" s="232"/>
      <c r="G109" s="232"/>
      <c r="H109" s="166"/>
      <c r="I109" s="27"/>
      <c r="J109" s="285"/>
      <c r="K109" s="44"/>
      <c r="L109" s="252"/>
      <c r="M109" s="27"/>
    </row>
    <row r="110" spans="1:13" ht="15.75" x14ac:dyDescent="0.2">
      <c r="A110" s="21" t="s">
        <v>392</v>
      </c>
      <c r="B110" s="232"/>
      <c r="C110" s="232"/>
      <c r="D110" s="166"/>
      <c r="E110" s="27"/>
      <c r="F110" s="232"/>
      <c r="G110" s="232"/>
      <c r="H110" s="166"/>
      <c r="I110" s="27"/>
      <c r="J110" s="285"/>
      <c r="K110" s="44"/>
      <c r="L110" s="252"/>
      <c r="M110" s="27"/>
    </row>
    <row r="111" spans="1:13" ht="15.75" x14ac:dyDescent="0.2">
      <c r="A111" s="13" t="s">
        <v>372</v>
      </c>
      <c r="B111" s="306"/>
      <c r="C111" s="159"/>
      <c r="D111" s="171"/>
      <c r="E111" s="11"/>
      <c r="F111" s="306"/>
      <c r="G111" s="159"/>
      <c r="H111" s="171"/>
      <c r="I111" s="11"/>
      <c r="J111" s="307"/>
      <c r="K111" s="234"/>
      <c r="L111" s="371"/>
      <c r="M111" s="11"/>
    </row>
    <row r="112" spans="1:13" x14ac:dyDescent="0.2">
      <c r="A112" s="21" t="s">
        <v>9</v>
      </c>
      <c r="B112" s="232"/>
      <c r="C112" s="145"/>
      <c r="D112" s="166"/>
      <c r="E112" s="27"/>
      <c r="F112" s="232"/>
      <c r="G112" s="145"/>
      <c r="H112" s="166"/>
      <c r="I112" s="27"/>
      <c r="J112" s="285"/>
      <c r="K112" s="44"/>
      <c r="L112" s="252"/>
      <c r="M112" s="27"/>
    </row>
    <row r="113" spans="1:14" x14ac:dyDescent="0.2">
      <c r="A113" s="21" t="s">
        <v>10</v>
      </c>
      <c r="B113" s="232"/>
      <c r="C113" s="145"/>
      <c r="D113" s="166"/>
      <c r="E113" s="27"/>
      <c r="F113" s="232"/>
      <c r="G113" s="145"/>
      <c r="H113" s="166"/>
      <c r="I113" s="27"/>
      <c r="J113" s="285"/>
      <c r="K113" s="44"/>
      <c r="L113" s="252"/>
      <c r="M113" s="27"/>
    </row>
    <row r="114" spans="1:14" x14ac:dyDescent="0.2">
      <c r="A114" s="21" t="s">
        <v>26</v>
      </c>
      <c r="B114" s="232"/>
      <c r="C114" s="145"/>
      <c r="D114" s="166"/>
      <c r="E114" s="27"/>
      <c r="F114" s="232"/>
      <c r="G114" s="145"/>
      <c r="H114" s="166"/>
      <c r="I114" s="27"/>
      <c r="J114" s="285"/>
      <c r="K114" s="44"/>
      <c r="L114" s="252"/>
      <c r="M114" s="27"/>
    </row>
    <row r="115" spans="1:14" x14ac:dyDescent="0.2">
      <c r="A115" s="294" t="s">
        <v>15</v>
      </c>
      <c r="B115" s="279"/>
      <c r="C115" s="279"/>
      <c r="D115" s="166"/>
      <c r="E115" s="363"/>
      <c r="F115" s="279"/>
      <c r="G115" s="279"/>
      <c r="H115" s="166"/>
      <c r="I115" s="363"/>
      <c r="J115" s="288"/>
      <c r="K115" s="288"/>
      <c r="L115" s="166"/>
      <c r="M115" s="23"/>
    </row>
    <row r="116" spans="1:14" ht="15.75" x14ac:dyDescent="0.2">
      <c r="A116" s="21" t="s">
        <v>393</v>
      </c>
      <c r="B116" s="232"/>
      <c r="C116" s="232"/>
      <c r="D116" s="166"/>
      <c r="E116" s="27"/>
      <c r="F116" s="232"/>
      <c r="G116" s="232"/>
      <c r="H116" s="166"/>
      <c r="I116" s="27"/>
      <c r="J116" s="285"/>
      <c r="K116" s="44"/>
      <c r="L116" s="252"/>
      <c r="M116" s="27"/>
    </row>
    <row r="117" spans="1:14" ht="15.75" x14ac:dyDescent="0.2">
      <c r="A117" s="21" t="s">
        <v>394</v>
      </c>
      <c r="B117" s="232"/>
      <c r="C117" s="232"/>
      <c r="D117" s="166"/>
      <c r="E117" s="27"/>
      <c r="F117" s="232"/>
      <c r="G117" s="232"/>
      <c r="H117" s="166"/>
      <c r="I117" s="27"/>
      <c r="J117" s="285"/>
      <c r="K117" s="44"/>
      <c r="L117" s="252"/>
      <c r="M117" s="27"/>
    </row>
    <row r="118" spans="1:14" ht="15.75" x14ac:dyDescent="0.2">
      <c r="A118" s="21" t="s">
        <v>392</v>
      </c>
      <c r="B118" s="232"/>
      <c r="C118" s="232"/>
      <c r="D118" s="166"/>
      <c r="E118" s="27"/>
      <c r="F118" s="232"/>
      <c r="G118" s="232"/>
      <c r="H118" s="166"/>
      <c r="I118" s="27"/>
      <c r="J118" s="285"/>
      <c r="K118" s="44"/>
      <c r="L118" s="252"/>
      <c r="M118" s="27"/>
    </row>
    <row r="119" spans="1:14" ht="15.75" x14ac:dyDescent="0.2">
      <c r="A119" s="13" t="s">
        <v>373</v>
      </c>
      <c r="B119" s="306"/>
      <c r="C119" s="159"/>
      <c r="D119" s="171"/>
      <c r="E119" s="11"/>
      <c r="F119" s="306"/>
      <c r="G119" s="159"/>
      <c r="H119" s="171"/>
      <c r="I119" s="11"/>
      <c r="J119" s="307"/>
      <c r="K119" s="234"/>
      <c r="L119" s="371"/>
      <c r="M119" s="11"/>
    </row>
    <row r="120" spans="1:14" x14ac:dyDescent="0.2">
      <c r="A120" s="21" t="s">
        <v>9</v>
      </c>
      <c r="B120" s="232"/>
      <c r="C120" s="145"/>
      <c r="D120" s="166"/>
      <c r="E120" s="27"/>
      <c r="F120" s="232"/>
      <c r="G120" s="145"/>
      <c r="H120" s="166"/>
      <c r="I120" s="27"/>
      <c r="J120" s="285"/>
      <c r="K120" s="44"/>
      <c r="L120" s="252"/>
      <c r="M120" s="27"/>
    </row>
    <row r="121" spans="1:14" x14ac:dyDescent="0.2">
      <c r="A121" s="21" t="s">
        <v>10</v>
      </c>
      <c r="B121" s="232"/>
      <c r="C121" s="145"/>
      <c r="D121" s="166"/>
      <c r="E121" s="27"/>
      <c r="F121" s="232"/>
      <c r="G121" s="145"/>
      <c r="H121" s="166"/>
      <c r="I121" s="27"/>
      <c r="J121" s="285"/>
      <c r="K121" s="44"/>
      <c r="L121" s="252"/>
      <c r="M121" s="27"/>
    </row>
    <row r="122" spans="1:14" x14ac:dyDescent="0.2">
      <c r="A122" s="21" t="s">
        <v>26</v>
      </c>
      <c r="B122" s="232"/>
      <c r="C122" s="145"/>
      <c r="D122" s="166"/>
      <c r="E122" s="27"/>
      <c r="F122" s="232"/>
      <c r="G122" s="145"/>
      <c r="H122" s="166"/>
      <c r="I122" s="27"/>
      <c r="J122" s="285"/>
      <c r="K122" s="44"/>
      <c r="L122" s="252"/>
      <c r="M122" s="27"/>
    </row>
    <row r="123" spans="1:14" x14ac:dyDescent="0.2">
      <c r="A123" s="294" t="s">
        <v>14</v>
      </c>
      <c r="B123" s="279"/>
      <c r="C123" s="279"/>
      <c r="D123" s="166"/>
      <c r="E123" s="363"/>
      <c r="F123" s="279"/>
      <c r="G123" s="279"/>
      <c r="H123" s="166"/>
      <c r="I123" s="363"/>
      <c r="J123" s="288"/>
      <c r="K123" s="288"/>
      <c r="L123" s="166"/>
      <c r="M123" s="23"/>
    </row>
    <row r="124" spans="1:14" ht="15.75" x14ac:dyDescent="0.2">
      <c r="A124" s="21" t="s">
        <v>399</v>
      </c>
      <c r="B124" s="232"/>
      <c r="C124" s="232"/>
      <c r="D124" s="166"/>
      <c r="E124" s="27"/>
      <c r="F124" s="232"/>
      <c r="G124" s="232"/>
      <c r="H124" s="166"/>
      <c r="I124" s="27"/>
      <c r="J124" s="285"/>
      <c r="K124" s="44"/>
      <c r="L124" s="252"/>
      <c r="M124" s="27"/>
    </row>
    <row r="125" spans="1:14" ht="15.75" x14ac:dyDescent="0.2">
      <c r="A125" s="21" t="s">
        <v>391</v>
      </c>
      <c r="B125" s="232"/>
      <c r="C125" s="232"/>
      <c r="D125" s="166"/>
      <c r="E125" s="27"/>
      <c r="F125" s="232"/>
      <c r="G125" s="232"/>
      <c r="H125" s="166"/>
      <c r="I125" s="27"/>
      <c r="J125" s="285"/>
      <c r="K125" s="44"/>
      <c r="L125" s="252"/>
      <c r="M125" s="27"/>
    </row>
    <row r="126" spans="1:14" ht="15.75" x14ac:dyDescent="0.2">
      <c r="A126" s="10" t="s">
        <v>392</v>
      </c>
      <c r="B126" s="45"/>
      <c r="C126" s="45"/>
      <c r="D126" s="167"/>
      <c r="E126" s="364"/>
      <c r="F126" s="45"/>
      <c r="G126" s="45"/>
      <c r="H126" s="167"/>
      <c r="I126" s="22"/>
      <c r="J126" s="286"/>
      <c r="K126" s="45"/>
      <c r="L126" s="253"/>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95"/>
      <c r="C130" s="695"/>
      <c r="D130" s="695"/>
      <c r="E130" s="297"/>
      <c r="F130" s="695"/>
      <c r="G130" s="695"/>
      <c r="H130" s="695"/>
      <c r="I130" s="297"/>
      <c r="J130" s="695"/>
      <c r="K130" s="695"/>
      <c r="L130" s="695"/>
      <c r="M130" s="297"/>
    </row>
    <row r="131" spans="1:14" s="3" customFormat="1" x14ac:dyDescent="0.2">
      <c r="A131" s="144"/>
      <c r="B131" s="696" t="s">
        <v>0</v>
      </c>
      <c r="C131" s="697"/>
      <c r="D131" s="697"/>
      <c r="E131" s="299"/>
      <c r="F131" s="696" t="s">
        <v>1</v>
      </c>
      <c r="G131" s="697"/>
      <c r="H131" s="697"/>
      <c r="I131" s="302"/>
      <c r="J131" s="696" t="s">
        <v>2</v>
      </c>
      <c r="K131" s="697"/>
      <c r="L131" s="697"/>
      <c r="M131" s="302"/>
      <c r="N131" s="148"/>
    </row>
    <row r="132" spans="1:14" s="3" customFormat="1" x14ac:dyDescent="0.2">
      <c r="A132" s="140"/>
      <c r="B132" s="152" t="s">
        <v>422</v>
      </c>
      <c r="C132" s="152" t="s">
        <v>423</v>
      </c>
      <c r="D132" s="243" t="s">
        <v>3</v>
      </c>
      <c r="E132" s="303" t="s">
        <v>29</v>
      </c>
      <c r="F132" s="152" t="s">
        <v>422</v>
      </c>
      <c r="G132" s="152" t="s">
        <v>423</v>
      </c>
      <c r="H132" s="205" t="s">
        <v>3</v>
      </c>
      <c r="I132" s="162" t="s">
        <v>29</v>
      </c>
      <c r="J132" s="152" t="s">
        <v>422</v>
      </c>
      <c r="K132" s="152" t="s">
        <v>423</v>
      </c>
      <c r="L132" s="244" t="s">
        <v>3</v>
      </c>
      <c r="M132" s="162" t="s">
        <v>29</v>
      </c>
      <c r="N132" s="148"/>
    </row>
    <row r="133" spans="1:14" s="3" customFormat="1" x14ac:dyDescent="0.2">
      <c r="A133" s="666"/>
      <c r="B133" s="156"/>
      <c r="C133" s="156"/>
      <c r="D133" s="244" t="s">
        <v>4</v>
      </c>
      <c r="E133" s="156" t="s">
        <v>30</v>
      </c>
      <c r="F133" s="161"/>
      <c r="G133" s="161"/>
      <c r="H133" s="205" t="s">
        <v>4</v>
      </c>
      <c r="I133" s="156" t="s">
        <v>30</v>
      </c>
      <c r="J133" s="156"/>
      <c r="K133" s="156"/>
      <c r="L133" s="150" t="s">
        <v>4</v>
      </c>
      <c r="M133" s="156" t="s">
        <v>30</v>
      </c>
      <c r="N133" s="148"/>
    </row>
    <row r="134" spans="1:14" s="3" customFormat="1" ht="15.75" x14ac:dyDescent="0.2">
      <c r="A134" s="14" t="s">
        <v>395</v>
      </c>
      <c r="B134" s="234"/>
      <c r="C134" s="307"/>
      <c r="D134" s="347"/>
      <c r="E134" s="11"/>
      <c r="F134" s="314"/>
      <c r="G134" s="315"/>
      <c r="H134" s="374"/>
      <c r="I134" s="24"/>
      <c r="J134" s="316"/>
      <c r="K134" s="316"/>
      <c r="L134" s="370"/>
      <c r="M134" s="11"/>
      <c r="N134" s="148"/>
    </row>
    <row r="135" spans="1:14" s="3" customFormat="1" ht="15.75" x14ac:dyDescent="0.2">
      <c r="A135" s="13" t="s">
        <v>400</v>
      </c>
      <c r="B135" s="234"/>
      <c r="C135" s="307"/>
      <c r="D135" s="171"/>
      <c r="E135" s="11"/>
      <c r="F135" s="234"/>
      <c r="G135" s="307"/>
      <c r="H135" s="375"/>
      <c r="I135" s="24"/>
      <c r="J135" s="306"/>
      <c r="K135" s="306"/>
      <c r="L135" s="371"/>
      <c r="M135" s="11"/>
      <c r="N135" s="148"/>
    </row>
    <row r="136" spans="1:14" s="3" customFormat="1" ht="15.75" x14ac:dyDescent="0.2">
      <c r="A136" s="13" t="s">
        <v>397</v>
      </c>
      <c r="B136" s="234"/>
      <c r="C136" s="307"/>
      <c r="D136" s="171"/>
      <c r="E136" s="11"/>
      <c r="F136" s="234"/>
      <c r="G136" s="307"/>
      <c r="H136" s="375"/>
      <c r="I136" s="24"/>
      <c r="J136" s="306"/>
      <c r="K136" s="306"/>
      <c r="L136" s="371"/>
      <c r="M136" s="11"/>
      <c r="N136" s="148"/>
    </row>
    <row r="137" spans="1:14" s="3" customFormat="1" ht="15.75" x14ac:dyDescent="0.2">
      <c r="A137" s="41" t="s">
        <v>398</v>
      </c>
      <c r="B137" s="274"/>
      <c r="C137" s="313"/>
      <c r="D137" s="169"/>
      <c r="E137" s="9"/>
      <c r="F137" s="274"/>
      <c r="G137" s="313"/>
      <c r="H137" s="376"/>
      <c r="I137" s="36"/>
      <c r="J137" s="312"/>
      <c r="K137" s="312"/>
      <c r="L137" s="372"/>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222" priority="132">
      <formula>kvartal &lt; 4</formula>
    </cfRule>
  </conditionalFormatting>
  <conditionalFormatting sqref="B69">
    <cfRule type="expression" dxfId="1221" priority="100">
      <formula>kvartal &lt; 4</formula>
    </cfRule>
  </conditionalFormatting>
  <conditionalFormatting sqref="C69">
    <cfRule type="expression" dxfId="1220" priority="99">
      <formula>kvartal &lt; 4</formula>
    </cfRule>
  </conditionalFormatting>
  <conditionalFormatting sqref="B72">
    <cfRule type="expression" dxfId="1219" priority="98">
      <formula>kvartal &lt; 4</formula>
    </cfRule>
  </conditionalFormatting>
  <conditionalFormatting sqref="C72">
    <cfRule type="expression" dxfId="1218" priority="97">
      <formula>kvartal &lt; 4</formula>
    </cfRule>
  </conditionalFormatting>
  <conditionalFormatting sqref="B80">
    <cfRule type="expression" dxfId="1217" priority="96">
      <formula>kvartal &lt; 4</formula>
    </cfRule>
  </conditionalFormatting>
  <conditionalFormatting sqref="C80">
    <cfRule type="expression" dxfId="1216" priority="95">
      <formula>kvartal &lt; 4</formula>
    </cfRule>
  </conditionalFormatting>
  <conditionalFormatting sqref="B83">
    <cfRule type="expression" dxfId="1215" priority="94">
      <formula>kvartal &lt; 4</formula>
    </cfRule>
  </conditionalFormatting>
  <conditionalFormatting sqref="C83">
    <cfRule type="expression" dxfId="1214" priority="93">
      <formula>kvartal &lt; 4</formula>
    </cfRule>
  </conditionalFormatting>
  <conditionalFormatting sqref="B90">
    <cfRule type="expression" dxfId="1213" priority="84">
      <formula>kvartal &lt; 4</formula>
    </cfRule>
  </conditionalFormatting>
  <conditionalFormatting sqref="C90">
    <cfRule type="expression" dxfId="1212" priority="83">
      <formula>kvartal &lt; 4</formula>
    </cfRule>
  </conditionalFormatting>
  <conditionalFormatting sqref="B93">
    <cfRule type="expression" dxfId="1211" priority="82">
      <formula>kvartal &lt; 4</formula>
    </cfRule>
  </conditionalFormatting>
  <conditionalFormatting sqref="C93">
    <cfRule type="expression" dxfId="1210" priority="81">
      <formula>kvartal &lt; 4</formula>
    </cfRule>
  </conditionalFormatting>
  <conditionalFormatting sqref="B101">
    <cfRule type="expression" dxfId="1209" priority="80">
      <formula>kvartal &lt; 4</formula>
    </cfRule>
  </conditionalFormatting>
  <conditionalFormatting sqref="C101">
    <cfRule type="expression" dxfId="1208" priority="79">
      <formula>kvartal &lt; 4</formula>
    </cfRule>
  </conditionalFormatting>
  <conditionalFormatting sqref="B104">
    <cfRule type="expression" dxfId="1207" priority="78">
      <formula>kvartal &lt; 4</formula>
    </cfRule>
  </conditionalFormatting>
  <conditionalFormatting sqref="C104">
    <cfRule type="expression" dxfId="1206" priority="77">
      <formula>kvartal &lt; 4</formula>
    </cfRule>
  </conditionalFormatting>
  <conditionalFormatting sqref="B115">
    <cfRule type="expression" dxfId="1205" priority="76">
      <formula>kvartal &lt; 4</formula>
    </cfRule>
  </conditionalFormatting>
  <conditionalFormatting sqref="C115">
    <cfRule type="expression" dxfId="1204" priority="75">
      <formula>kvartal &lt; 4</formula>
    </cfRule>
  </conditionalFormatting>
  <conditionalFormatting sqref="B123">
    <cfRule type="expression" dxfId="1203" priority="74">
      <formula>kvartal &lt; 4</formula>
    </cfRule>
  </conditionalFormatting>
  <conditionalFormatting sqref="C123">
    <cfRule type="expression" dxfId="1202" priority="73">
      <formula>kvartal &lt; 4</formula>
    </cfRule>
  </conditionalFormatting>
  <conditionalFormatting sqref="F70">
    <cfRule type="expression" dxfId="1201" priority="72">
      <formula>kvartal &lt; 4</formula>
    </cfRule>
  </conditionalFormatting>
  <conditionalFormatting sqref="G70">
    <cfRule type="expression" dxfId="1200" priority="71">
      <formula>kvartal &lt; 4</formula>
    </cfRule>
  </conditionalFormatting>
  <conditionalFormatting sqref="F71:G71">
    <cfRule type="expression" dxfId="1199" priority="70">
      <formula>kvartal &lt; 4</formula>
    </cfRule>
  </conditionalFormatting>
  <conditionalFormatting sqref="F73:G74">
    <cfRule type="expression" dxfId="1198" priority="69">
      <formula>kvartal &lt; 4</formula>
    </cfRule>
  </conditionalFormatting>
  <conditionalFormatting sqref="F81:G82">
    <cfRule type="expression" dxfId="1197" priority="68">
      <formula>kvartal &lt; 4</formula>
    </cfRule>
  </conditionalFormatting>
  <conditionalFormatting sqref="F84:G85">
    <cfRule type="expression" dxfId="1196" priority="67">
      <formula>kvartal &lt; 4</formula>
    </cfRule>
  </conditionalFormatting>
  <conditionalFormatting sqref="F91:G92">
    <cfRule type="expression" dxfId="1195" priority="62">
      <formula>kvartal &lt; 4</formula>
    </cfRule>
  </conditionalFormatting>
  <conditionalFormatting sqref="F94:G95">
    <cfRule type="expression" dxfId="1194" priority="61">
      <formula>kvartal &lt; 4</formula>
    </cfRule>
  </conditionalFormatting>
  <conditionalFormatting sqref="F102:G103">
    <cfRule type="expression" dxfId="1193" priority="60">
      <formula>kvartal &lt; 4</formula>
    </cfRule>
  </conditionalFormatting>
  <conditionalFormatting sqref="F105:G106">
    <cfRule type="expression" dxfId="1192" priority="59">
      <formula>kvartal &lt; 4</formula>
    </cfRule>
  </conditionalFormatting>
  <conditionalFormatting sqref="F115">
    <cfRule type="expression" dxfId="1191" priority="58">
      <formula>kvartal &lt; 4</formula>
    </cfRule>
  </conditionalFormatting>
  <conditionalFormatting sqref="G115">
    <cfRule type="expression" dxfId="1190" priority="57">
      <formula>kvartal &lt; 4</formula>
    </cfRule>
  </conditionalFormatting>
  <conditionalFormatting sqref="F123:G123">
    <cfRule type="expression" dxfId="1189" priority="56">
      <formula>kvartal &lt; 4</formula>
    </cfRule>
  </conditionalFormatting>
  <conditionalFormatting sqref="F69:G69">
    <cfRule type="expression" dxfId="1188" priority="55">
      <formula>kvartal &lt; 4</formula>
    </cfRule>
  </conditionalFormatting>
  <conditionalFormatting sqref="F72:G72">
    <cfRule type="expression" dxfId="1187" priority="54">
      <formula>kvartal &lt; 4</formula>
    </cfRule>
  </conditionalFormatting>
  <conditionalFormatting sqref="F80:G80">
    <cfRule type="expression" dxfId="1186" priority="53">
      <formula>kvartal &lt; 4</formula>
    </cfRule>
  </conditionalFormatting>
  <conditionalFormatting sqref="F83:G83">
    <cfRule type="expression" dxfId="1185" priority="52">
      <formula>kvartal &lt; 4</formula>
    </cfRule>
  </conditionalFormatting>
  <conditionalFormatting sqref="F90:G90">
    <cfRule type="expression" dxfId="1184" priority="46">
      <formula>kvartal &lt; 4</formula>
    </cfRule>
  </conditionalFormatting>
  <conditionalFormatting sqref="F93">
    <cfRule type="expression" dxfId="1183" priority="45">
      <formula>kvartal &lt; 4</formula>
    </cfRule>
  </conditionalFormatting>
  <conditionalFormatting sqref="G93">
    <cfRule type="expression" dxfId="1182" priority="44">
      <formula>kvartal &lt; 4</formula>
    </cfRule>
  </conditionalFormatting>
  <conditionalFormatting sqref="F101">
    <cfRule type="expression" dxfId="1181" priority="43">
      <formula>kvartal &lt; 4</formula>
    </cfRule>
  </conditionalFormatting>
  <conditionalFormatting sqref="G101">
    <cfRule type="expression" dxfId="1180" priority="42">
      <formula>kvartal &lt; 4</formula>
    </cfRule>
  </conditionalFormatting>
  <conditionalFormatting sqref="G104">
    <cfRule type="expression" dxfId="1179" priority="41">
      <formula>kvartal &lt; 4</formula>
    </cfRule>
  </conditionalFormatting>
  <conditionalFormatting sqref="F104">
    <cfRule type="expression" dxfId="1178" priority="40">
      <formula>kvartal &lt; 4</formula>
    </cfRule>
  </conditionalFormatting>
  <conditionalFormatting sqref="J69:K73">
    <cfRule type="expression" dxfId="1177" priority="39">
      <formula>kvartal &lt; 4</formula>
    </cfRule>
  </conditionalFormatting>
  <conditionalFormatting sqref="J74:K74">
    <cfRule type="expression" dxfId="1176" priority="38">
      <formula>kvartal &lt; 4</formula>
    </cfRule>
  </conditionalFormatting>
  <conditionalFormatting sqref="J80:K85">
    <cfRule type="expression" dxfId="1175" priority="37">
      <formula>kvartal &lt; 4</formula>
    </cfRule>
  </conditionalFormatting>
  <conditionalFormatting sqref="J90:K95">
    <cfRule type="expression" dxfId="1174" priority="34">
      <formula>kvartal &lt; 4</formula>
    </cfRule>
  </conditionalFormatting>
  <conditionalFormatting sqref="J101:K106">
    <cfRule type="expression" dxfId="1173" priority="33">
      <formula>kvartal &lt; 4</formula>
    </cfRule>
  </conditionalFormatting>
  <conditionalFormatting sqref="J115:K115">
    <cfRule type="expression" dxfId="1172" priority="32">
      <formula>kvartal &lt; 4</formula>
    </cfRule>
  </conditionalFormatting>
  <conditionalFormatting sqref="J123:K123">
    <cfRule type="expression" dxfId="1171" priority="31">
      <formula>kvartal &lt; 4</formula>
    </cfRule>
  </conditionalFormatting>
  <conditionalFormatting sqref="A50:A52">
    <cfRule type="expression" dxfId="1170" priority="12">
      <formula>kvartal &lt; 4</formula>
    </cfRule>
  </conditionalFormatting>
  <conditionalFormatting sqref="A69:A74">
    <cfRule type="expression" dxfId="1169" priority="10">
      <formula>kvartal &lt; 4</formula>
    </cfRule>
  </conditionalFormatting>
  <conditionalFormatting sqref="A80:A85">
    <cfRule type="expression" dxfId="1168" priority="9">
      <formula>kvartal &lt; 4</formula>
    </cfRule>
  </conditionalFormatting>
  <conditionalFormatting sqref="A90:A95">
    <cfRule type="expression" dxfId="1167" priority="6">
      <formula>kvartal &lt; 4</formula>
    </cfRule>
  </conditionalFormatting>
  <conditionalFormatting sqref="A101:A106">
    <cfRule type="expression" dxfId="1166" priority="5">
      <formula>kvartal &lt; 4</formula>
    </cfRule>
  </conditionalFormatting>
  <conditionalFormatting sqref="A115">
    <cfRule type="expression" dxfId="1165" priority="4">
      <formula>kvartal &lt; 4</formula>
    </cfRule>
  </conditionalFormatting>
  <conditionalFormatting sqref="A123">
    <cfRule type="expression" dxfId="1164" priority="3">
      <formula>kvartal &lt; 4</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64"/>
      <c r="C1" s="246" t="s">
        <v>134</v>
      </c>
      <c r="D1" s="26"/>
      <c r="E1" s="26"/>
      <c r="F1" s="26"/>
      <c r="G1" s="26"/>
      <c r="H1" s="26"/>
      <c r="I1" s="26"/>
      <c r="J1" s="26"/>
      <c r="K1" s="26"/>
      <c r="L1" s="26"/>
      <c r="M1" s="26"/>
    </row>
    <row r="2" spans="1:14" ht="15.75" x14ac:dyDescent="0.25">
      <c r="A2" s="165" t="s">
        <v>28</v>
      </c>
      <c r="B2" s="700"/>
      <c r="C2" s="700"/>
      <c r="D2" s="700"/>
      <c r="E2" s="297"/>
      <c r="F2" s="700"/>
      <c r="G2" s="700"/>
      <c r="H2" s="700"/>
      <c r="I2" s="297"/>
      <c r="J2" s="700"/>
      <c r="K2" s="700"/>
      <c r="L2" s="700"/>
      <c r="M2" s="297"/>
    </row>
    <row r="3" spans="1:14" ht="15.75" x14ac:dyDescent="0.25">
      <c r="A3" s="163"/>
      <c r="B3" s="297"/>
      <c r="C3" s="297"/>
      <c r="D3" s="297"/>
      <c r="E3" s="297"/>
      <c r="F3" s="297"/>
      <c r="G3" s="297"/>
      <c r="H3" s="297"/>
      <c r="I3" s="297"/>
      <c r="J3" s="297"/>
      <c r="K3" s="297"/>
      <c r="L3" s="297"/>
      <c r="M3" s="297"/>
    </row>
    <row r="4" spans="1:14" x14ac:dyDescent="0.2">
      <c r="A4" s="144"/>
      <c r="B4" s="696" t="s">
        <v>0</v>
      </c>
      <c r="C4" s="697"/>
      <c r="D4" s="697"/>
      <c r="E4" s="299"/>
      <c r="F4" s="696" t="s">
        <v>1</v>
      </c>
      <c r="G4" s="697"/>
      <c r="H4" s="697"/>
      <c r="I4" s="302"/>
      <c r="J4" s="696" t="s">
        <v>2</v>
      </c>
      <c r="K4" s="697"/>
      <c r="L4" s="697"/>
      <c r="M4" s="302"/>
    </row>
    <row r="5" spans="1:14" x14ac:dyDescent="0.2">
      <c r="A5" s="158"/>
      <c r="B5" s="152" t="s">
        <v>422</v>
      </c>
      <c r="C5" s="152" t="s">
        <v>423</v>
      </c>
      <c r="D5" s="243" t="s">
        <v>3</v>
      </c>
      <c r="E5" s="303" t="s">
        <v>29</v>
      </c>
      <c r="F5" s="152" t="s">
        <v>422</v>
      </c>
      <c r="G5" s="152" t="s">
        <v>423</v>
      </c>
      <c r="H5" s="243" t="s">
        <v>3</v>
      </c>
      <c r="I5" s="162" t="s">
        <v>29</v>
      </c>
      <c r="J5" s="152" t="s">
        <v>422</v>
      </c>
      <c r="K5" s="152" t="s">
        <v>423</v>
      </c>
      <c r="L5" s="243" t="s">
        <v>3</v>
      </c>
      <c r="M5" s="162" t="s">
        <v>29</v>
      </c>
    </row>
    <row r="6" spans="1:14" x14ac:dyDescent="0.2">
      <c r="A6" s="665"/>
      <c r="B6" s="156"/>
      <c r="C6" s="156"/>
      <c r="D6" s="244" t="s">
        <v>4</v>
      </c>
      <c r="E6" s="156" t="s">
        <v>30</v>
      </c>
      <c r="F6" s="161"/>
      <c r="G6" s="161"/>
      <c r="H6" s="243" t="s">
        <v>4</v>
      </c>
      <c r="I6" s="156" t="s">
        <v>30</v>
      </c>
      <c r="J6" s="161"/>
      <c r="K6" s="161"/>
      <c r="L6" s="243" t="s">
        <v>4</v>
      </c>
      <c r="M6" s="156" t="s">
        <v>30</v>
      </c>
    </row>
    <row r="7" spans="1:14" ht="15.75" x14ac:dyDescent="0.2">
      <c r="A7" s="14" t="s">
        <v>23</v>
      </c>
      <c r="B7" s="304"/>
      <c r="C7" s="305"/>
      <c r="D7" s="347"/>
      <c r="E7" s="11"/>
      <c r="F7" s="304">
        <v>50107</v>
      </c>
      <c r="G7" s="305">
        <v>47248.1</v>
      </c>
      <c r="H7" s="347">
        <f>IF(F7=0, "    ---- ", IF(ABS(ROUND(100/F7*G7-100,1))&lt;999,ROUND(100/F7*G7-100,1),IF(ROUND(100/F7*G7-100,1)&gt;999,999,-999)))</f>
        <v>-5.7</v>
      </c>
      <c r="I7" s="160">
        <f>IFERROR(100/'Skjema total MA'!F7*G7,0)</f>
        <v>0.93983230732463341</v>
      </c>
      <c r="J7" s="306">
        <f t="shared" ref="J7:K12" si="0">SUM(B7,F7)</f>
        <v>50107</v>
      </c>
      <c r="K7" s="307">
        <f t="shared" si="0"/>
        <v>47248.1</v>
      </c>
      <c r="L7" s="370">
        <f>IF(J7=0, "    ---- ", IF(ABS(ROUND(100/J7*K7-100,1))&lt;999,ROUND(100/J7*K7-100,1),IF(ROUND(100/J7*K7-100,1)&gt;999,999,-999)))</f>
        <v>-5.7</v>
      </c>
      <c r="M7" s="11">
        <f>IFERROR(100/'Skjema total MA'!I7*K7,0)</f>
        <v>0.61497787072823418</v>
      </c>
    </row>
    <row r="8" spans="1:14" ht="15.75" x14ac:dyDescent="0.2">
      <c r="A8" s="21" t="s">
        <v>25</v>
      </c>
      <c r="B8" s="279"/>
      <c r="C8" s="280"/>
      <c r="D8" s="166"/>
      <c r="E8" s="27"/>
      <c r="F8" s="283"/>
      <c r="G8" s="284"/>
      <c r="H8" s="166"/>
      <c r="I8" s="175"/>
      <c r="J8" s="232"/>
      <c r="K8" s="285"/>
      <c r="L8" s="252"/>
      <c r="M8" s="27"/>
    </row>
    <row r="9" spans="1:14" ht="15.75" x14ac:dyDescent="0.2">
      <c r="A9" s="21" t="s">
        <v>24</v>
      </c>
      <c r="B9" s="279"/>
      <c r="C9" s="280"/>
      <c r="D9" s="166"/>
      <c r="E9" s="27"/>
      <c r="F9" s="283"/>
      <c r="G9" s="284"/>
      <c r="H9" s="166"/>
      <c r="I9" s="175"/>
      <c r="J9" s="232"/>
      <c r="K9" s="285"/>
      <c r="L9" s="252"/>
      <c r="M9" s="27"/>
    </row>
    <row r="10" spans="1:14" ht="15.75" x14ac:dyDescent="0.2">
      <c r="A10" s="13" t="s">
        <v>371</v>
      </c>
      <c r="B10" s="308"/>
      <c r="C10" s="309"/>
      <c r="D10" s="171"/>
      <c r="E10" s="11"/>
      <c r="F10" s="308">
        <v>546406</v>
      </c>
      <c r="G10" s="309">
        <v>574992.9</v>
      </c>
      <c r="H10" s="171">
        <f t="shared" ref="H10:H12" si="1">IF(F10=0, "    ---- ", IF(ABS(ROUND(100/F10*G10-100,1))&lt;999,ROUND(100/F10*G10-100,1),IF(ROUND(100/F10*G10-100,1)&gt;999,999,-999)))</f>
        <v>5.2</v>
      </c>
      <c r="I10" s="160">
        <f>IFERROR(100/'Skjema total MA'!F10*G10,0)</f>
        <v>1.2391058242491408</v>
      </c>
      <c r="J10" s="306">
        <f t="shared" si="0"/>
        <v>546406</v>
      </c>
      <c r="K10" s="307">
        <f t="shared" si="0"/>
        <v>574992.9</v>
      </c>
      <c r="L10" s="371">
        <f t="shared" ref="L10:L12" si="2">IF(J10=0, "    ---- ", IF(ABS(ROUND(100/J10*K10-100,1))&lt;999,ROUND(100/J10*K10-100,1),IF(ROUND(100/J10*K10-100,1)&gt;999,999,-999)))</f>
        <v>5.2</v>
      </c>
      <c r="M10" s="11">
        <f>IFERROR(100/'Skjema total MA'!I10*K10,0)</f>
        <v>0.8698943795673918</v>
      </c>
    </row>
    <row r="11" spans="1:14" s="43" customFormat="1" ht="15.75" x14ac:dyDescent="0.2">
      <c r="A11" s="13" t="s">
        <v>372</v>
      </c>
      <c r="B11" s="308"/>
      <c r="C11" s="309"/>
      <c r="D11" s="171"/>
      <c r="E11" s="11"/>
      <c r="F11" s="308">
        <v>3286</v>
      </c>
      <c r="G11" s="309">
        <v>4117.3</v>
      </c>
      <c r="H11" s="171">
        <f t="shared" si="1"/>
        <v>25.3</v>
      </c>
      <c r="I11" s="160">
        <f>IFERROR(100/'Skjema total MA'!F11*G11,0)</f>
        <v>2.452236000634747</v>
      </c>
      <c r="J11" s="306">
        <f t="shared" si="0"/>
        <v>3286</v>
      </c>
      <c r="K11" s="307">
        <f t="shared" si="0"/>
        <v>4117.3</v>
      </c>
      <c r="L11" s="371">
        <f t="shared" si="2"/>
        <v>25.3</v>
      </c>
      <c r="M11" s="11">
        <f>IFERROR(100/'Skjema total MA'!I11*K11,0)</f>
        <v>2.133384298528223</v>
      </c>
      <c r="N11" s="143"/>
    </row>
    <row r="12" spans="1:14" s="43" customFormat="1" ht="15.75" x14ac:dyDescent="0.2">
      <c r="A12" s="41" t="s">
        <v>373</v>
      </c>
      <c r="B12" s="310"/>
      <c r="C12" s="311"/>
      <c r="D12" s="169"/>
      <c r="E12" s="36"/>
      <c r="F12" s="310">
        <v>3701</v>
      </c>
      <c r="G12" s="311">
        <v>1010.7</v>
      </c>
      <c r="H12" s="169">
        <f t="shared" si="1"/>
        <v>-72.7</v>
      </c>
      <c r="I12" s="169">
        <f>IFERROR(100/'Skjema total MA'!F12*G12,0)</f>
        <v>0.89185880925533556</v>
      </c>
      <c r="J12" s="312">
        <f t="shared" si="0"/>
        <v>3701</v>
      </c>
      <c r="K12" s="313">
        <f t="shared" si="0"/>
        <v>1010.7</v>
      </c>
      <c r="L12" s="372">
        <f t="shared" si="2"/>
        <v>-72.7</v>
      </c>
      <c r="M12" s="36">
        <f>IFERROR(100/'Skjema total MA'!I12*K12,0)</f>
        <v>0.8589266870712714</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95"/>
      <c r="C18" s="695"/>
      <c r="D18" s="695"/>
      <c r="E18" s="297"/>
      <c r="F18" s="695"/>
      <c r="G18" s="695"/>
      <c r="H18" s="695"/>
      <c r="I18" s="297"/>
      <c r="J18" s="695"/>
      <c r="K18" s="695"/>
      <c r="L18" s="695"/>
      <c r="M18" s="297"/>
    </row>
    <row r="19" spans="1:14" x14ac:dyDescent="0.2">
      <c r="A19" s="144"/>
      <c r="B19" s="696" t="s">
        <v>0</v>
      </c>
      <c r="C19" s="697"/>
      <c r="D19" s="697"/>
      <c r="E19" s="299"/>
      <c r="F19" s="696" t="s">
        <v>1</v>
      </c>
      <c r="G19" s="697"/>
      <c r="H19" s="697"/>
      <c r="I19" s="302"/>
      <c r="J19" s="696" t="s">
        <v>2</v>
      </c>
      <c r="K19" s="697"/>
      <c r="L19" s="697"/>
      <c r="M19" s="302"/>
    </row>
    <row r="20" spans="1:14" x14ac:dyDescent="0.2">
      <c r="A20" s="140" t="s">
        <v>5</v>
      </c>
      <c r="B20" s="152" t="s">
        <v>422</v>
      </c>
      <c r="C20" s="152" t="s">
        <v>423</v>
      </c>
      <c r="D20" s="162" t="s">
        <v>3</v>
      </c>
      <c r="E20" s="303" t="s">
        <v>29</v>
      </c>
      <c r="F20" s="152" t="s">
        <v>422</v>
      </c>
      <c r="G20" s="152" t="s">
        <v>423</v>
      </c>
      <c r="H20" s="162" t="s">
        <v>3</v>
      </c>
      <c r="I20" s="162" t="s">
        <v>29</v>
      </c>
      <c r="J20" s="152" t="s">
        <v>422</v>
      </c>
      <c r="K20" s="152" t="s">
        <v>423</v>
      </c>
      <c r="L20" s="162" t="s">
        <v>3</v>
      </c>
      <c r="M20" s="162" t="s">
        <v>29</v>
      </c>
    </row>
    <row r="21" spans="1:14" x14ac:dyDescent="0.2">
      <c r="A21" s="666"/>
      <c r="B21" s="156"/>
      <c r="C21" s="156"/>
      <c r="D21" s="244" t="s">
        <v>4</v>
      </c>
      <c r="E21" s="156" t="s">
        <v>30</v>
      </c>
      <c r="F21" s="161"/>
      <c r="G21" s="161"/>
      <c r="H21" s="243" t="s">
        <v>4</v>
      </c>
      <c r="I21" s="156" t="s">
        <v>30</v>
      </c>
      <c r="J21" s="161"/>
      <c r="K21" s="161"/>
      <c r="L21" s="156" t="s">
        <v>4</v>
      </c>
      <c r="M21" s="156" t="s">
        <v>30</v>
      </c>
    </row>
    <row r="22" spans="1:14" ht="15.75" x14ac:dyDescent="0.2">
      <c r="A22" s="14" t="s">
        <v>23</v>
      </c>
      <c r="B22" s="308">
        <v>199825</v>
      </c>
      <c r="C22" s="308">
        <v>221948.9</v>
      </c>
      <c r="D22" s="347">
        <f t="shared" ref="D22:D29" si="3">IF(B22=0, "    ---- ", IF(ABS(ROUND(100/B22*C22-100,1))&lt;999,ROUND(100/B22*C22-100,1),IF(ROUND(100/B22*C22-100,1)&gt;999,999,-999)))</f>
        <v>11.1</v>
      </c>
      <c r="E22" s="11">
        <f>IFERROR(100/'Skjema total MA'!C22*C22,0)</f>
        <v>21.463269216616325</v>
      </c>
      <c r="F22" s="316">
        <v>24129</v>
      </c>
      <c r="G22" s="316">
        <v>30650.6</v>
      </c>
      <c r="H22" s="347">
        <f t="shared" ref="H22:H35" si="4">IF(F22=0, "    ---- ", IF(ABS(ROUND(100/F22*G22-100,1))&lt;999,ROUND(100/F22*G22-100,1),IF(ROUND(100/F22*G22-100,1)&gt;999,999,-999)))</f>
        <v>27</v>
      </c>
      <c r="I22" s="11">
        <f>IFERROR(100/'Skjema total MA'!F22*G22,0)</f>
        <v>5.5370470207392222</v>
      </c>
      <c r="J22" s="314">
        <f t="shared" ref="J22:K35" si="5">SUM(B22,F22)</f>
        <v>223954</v>
      </c>
      <c r="K22" s="314">
        <f t="shared" si="5"/>
        <v>252599.5</v>
      </c>
      <c r="L22" s="370">
        <f t="shared" ref="L22:L35" si="6">IF(J22=0, "    ---- ", IF(ABS(ROUND(100/J22*K22-100,1))&lt;999,ROUND(100/J22*K22-100,1),IF(ROUND(100/J22*K22-100,1)&gt;999,999,-999)))</f>
        <v>12.8</v>
      </c>
      <c r="M22" s="24">
        <f>IFERROR(100/'Skjema total MA'!I22*K22,0)</f>
        <v>15.910355394179282</v>
      </c>
    </row>
    <row r="23" spans="1:14" ht="15.75" x14ac:dyDescent="0.2">
      <c r="A23" s="551" t="s">
        <v>374</v>
      </c>
      <c r="B23" s="279"/>
      <c r="C23" s="279"/>
      <c r="D23" s="166"/>
      <c r="E23" s="11"/>
      <c r="F23" s="288">
        <v>11</v>
      </c>
      <c r="G23" s="288">
        <v>8</v>
      </c>
      <c r="H23" s="166">
        <f t="shared" si="4"/>
        <v>-27.3</v>
      </c>
      <c r="I23" s="363">
        <f>IFERROR(100/'Skjema total MA'!F23*G23,0)</f>
        <v>1.8666937959498347E-2</v>
      </c>
      <c r="J23" s="288">
        <f t="shared" ref="J23:J26" si="7">SUM(B23,F23)</f>
        <v>11</v>
      </c>
      <c r="K23" s="288">
        <f t="shared" ref="K23:K26" si="8">SUM(C23,G23)</f>
        <v>8</v>
      </c>
      <c r="L23" s="166">
        <f t="shared" si="6"/>
        <v>-27.3</v>
      </c>
      <c r="M23" s="23">
        <f>IFERROR(100/'Skjema total MA'!I23*K23,0)</f>
        <v>9.9583375864900278E-4</v>
      </c>
    </row>
    <row r="24" spans="1:14" ht="15.75" x14ac:dyDescent="0.2">
      <c r="A24" s="551" t="s">
        <v>375</v>
      </c>
      <c r="B24" s="279"/>
      <c r="C24" s="279"/>
      <c r="D24" s="166"/>
      <c r="E24" s="11"/>
      <c r="F24" s="288"/>
      <c r="G24" s="288"/>
      <c r="H24" s="166"/>
      <c r="I24" s="363"/>
      <c r="J24" s="288"/>
      <c r="K24" s="288"/>
      <c r="L24" s="166"/>
      <c r="M24" s="23"/>
    </row>
    <row r="25" spans="1:14" ht="15.75" x14ac:dyDescent="0.2">
      <c r="A25" s="551" t="s">
        <v>376</v>
      </c>
      <c r="B25" s="279"/>
      <c r="C25" s="279"/>
      <c r="D25" s="166"/>
      <c r="E25" s="11"/>
      <c r="F25" s="288">
        <v>323</v>
      </c>
      <c r="G25" s="288">
        <v>0</v>
      </c>
      <c r="H25" s="166">
        <f t="shared" si="4"/>
        <v>-100</v>
      </c>
      <c r="I25" s="363">
        <f>IFERROR(100/'Skjema total MA'!F25*G25,0)</f>
        <v>0</v>
      </c>
      <c r="J25" s="288">
        <f t="shared" si="7"/>
        <v>323</v>
      </c>
      <c r="K25" s="288">
        <f t="shared" si="8"/>
        <v>0</v>
      </c>
      <c r="L25" s="166">
        <f t="shared" ref="L25:L26" si="9">IF(J25=0, "    ---- ", IF(ABS(ROUND(100/J25*K25-100,1))&lt;999,ROUND(100/J25*K25-100,1),IF(ROUND(100/J25*K25-100,1)&gt;999,999,-999)))</f>
        <v>-100</v>
      </c>
      <c r="M25" s="23">
        <f>IFERROR(100/'Skjema total MA'!I25*K25,0)</f>
        <v>0</v>
      </c>
    </row>
    <row r="26" spans="1:14" ht="15.75" x14ac:dyDescent="0.2">
      <c r="A26" s="551" t="s">
        <v>377</v>
      </c>
      <c r="B26" s="279"/>
      <c r="C26" s="279"/>
      <c r="D26" s="166"/>
      <c r="E26" s="11"/>
      <c r="F26" s="288">
        <v>23795</v>
      </c>
      <c r="G26" s="288">
        <v>30642.6</v>
      </c>
      <c r="H26" s="166">
        <f t="shared" si="4"/>
        <v>28.8</v>
      </c>
      <c r="I26" s="363">
        <f>IFERROR(100/'Skjema total MA'!F26*G26,0)</f>
        <v>6.2537657364748069</v>
      </c>
      <c r="J26" s="288">
        <f t="shared" si="7"/>
        <v>23795</v>
      </c>
      <c r="K26" s="288">
        <f t="shared" si="8"/>
        <v>30642.6</v>
      </c>
      <c r="L26" s="166">
        <f t="shared" si="9"/>
        <v>28.8</v>
      </c>
      <c r="M26" s="23">
        <f>IFERROR(100/'Skjema total MA'!I26*K26,0)</f>
        <v>6.2537657364748069</v>
      </c>
    </row>
    <row r="27" spans="1:14" x14ac:dyDescent="0.2">
      <c r="A27" s="551" t="s">
        <v>11</v>
      </c>
      <c r="B27" s="279"/>
      <c r="C27" s="279"/>
      <c r="D27" s="166"/>
      <c r="E27" s="11"/>
      <c r="F27" s="288"/>
      <c r="G27" s="288"/>
      <c r="H27" s="166"/>
      <c r="I27" s="363"/>
      <c r="J27" s="288"/>
      <c r="K27" s="288"/>
      <c r="L27" s="166"/>
      <c r="M27" s="23"/>
    </row>
    <row r="28" spans="1:14" ht="15.75" x14ac:dyDescent="0.2">
      <c r="A28" s="49" t="s">
        <v>282</v>
      </c>
      <c r="B28" s="44">
        <v>199825</v>
      </c>
      <c r="C28" s="285">
        <v>221948.9</v>
      </c>
      <c r="D28" s="166">
        <f t="shared" si="3"/>
        <v>11.1</v>
      </c>
      <c r="E28" s="11">
        <f>IFERROR(100/'Skjema total MA'!C28*C28,0)</f>
        <v>21.214157788599991</v>
      </c>
      <c r="F28" s="232"/>
      <c r="G28" s="285"/>
      <c r="H28" s="166"/>
      <c r="I28" s="27"/>
      <c r="J28" s="44">
        <f t="shared" si="5"/>
        <v>199825</v>
      </c>
      <c r="K28" s="44">
        <f t="shared" si="5"/>
        <v>221948.9</v>
      </c>
      <c r="L28" s="252">
        <f t="shared" si="6"/>
        <v>11.1</v>
      </c>
      <c r="M28" s="23">
        <f>IFERROR(100/'Skjema total MA'!I28*K28,0)</f>
        <v>21.214157788599991</v>
      </c>
    </row>
    <row r="29" spans="1:14" s="3" customFormat="1" ht="15.75" x14ac:dyDescent="0.2">
      <c r="A29" s="13" t="s">
        <v>371</v>
      </c>
      <c r="B29" s="234">
        <v>1461888</v>
      </c>
      <c r="C29" s="234">
        <v>1782352</v>
      </c>
      <c r="D29" s="171">
        <f t="shared" si="3"/>
        <v>21.9</v>
      </c>
      <c r="E29" s="11">
        <f>IFERROR(100/'Skjema total MA'!C29*C29,0)</f>
        <v>3.7557416988476056</v>
      </c>
      <c r="F29" s="306">
        <v>1574959</v>
      </c>
      <c r="G29" s="306">
        <v>1555398</v>
      </c>
      <c r="H29" s="171">
        <f t="shared" si="4"/>
        <v>-1.2</v>
      </c>
      <c r="I29" s="11">
        <f>IFERROR(100/'Skjema total MA'!F29*G29,0)</f>
        <v>7.6126005051520567</v>
      </c>
      <c r="J29" s="234">
        <f t="shared" si="5"/>
        <v>3036847</v>
      </c>
      <c r="K29" s="234">
        <f t="shared" si="5"/>
        <v>3337750</v>
      </c>
      <c r="L29" s="371">
        <f t="shared" si="6"/>
        <v>9.9</v>
      </c>
      <c r="M29" s="24">
        <f>IFERROR(100/'Skjema total MA'!I29*K29,0)</f>
        <v>4.916509368982962</v>
      </c>
      <c r="N29" s="148"/>
    </row>
    <row r="30" spans="1:14" s="3" customFormat="1" ht="15.75" x14ac:dyDescent="0.2">
      <c r="A30" s="551" t="s">
        <v>374</v>
      </c>
      <c r="B30" s="279"/>
      <c r="C30" s="279"/>
      <c r="D30" s="166"/>
      <c r="E30" s="11"/>
      <c r="F30" s="288">
        <v>31515</v>
      </c>
      <c r="G30" s="288">
        <v>28926.7</v>
      </c>
      <c r="H30" s="166">
        <f t="shared" si="4"/>
        <v>-8.1999999999999993</v>
      </c>
      <c r="I30" s="363">
        <f>IFERROR(100/'Skjema total MA'!F30*G30,0)</f>
        <v>0.67971101968831338</v>
      </c>
      <c r="J30" s="288">
        <f t="shared" ref="J30:J33" si="10">SUM(B30,F30)</f>
        <v>31515</v>
      </c>
      <c r="K30" s="288">
        <f t="shared" ref="K30:K33" si="11">SUM(C30,G30)</f>
        <v>28926.7</v>
      </c>
      <c r="L30" s="166">
        <f t="shared" si="6"/>
        <v>-8.1999999999999993</v>
      </c>
      <c r="M30" s="23">
        <f>IFERROR(100/'Skjema total MA'!I30*K30,0)</f>
        <v>0.1965518645215644</v>
      </c>
      <c r="N30" s="148"/>
    </row>
    <row r="31" spans="1:14" s="3" customFormat="1" ht="15.75" x14ac:dyDescent="0.2">
      <c r="A31" s="551" t="s">
        <v>375</v>
      </c>
      <c r="B31" s="279"/>
      <c r="C31" s="279"/>
      <c r="D31" s="166"/>
      <c r="E31" s="11"/>
      <c r="F31" s="288">
        <v>1316227</v>
      </c>
      <c r="G31" s="288">
        <v>1198180</v>
      </c>
      <c r="H31" s="166">
        <f t="shared" si="4"/>
        <v>-9</v>
      </c>
      <c r="I31" s="363">
        <f>IFERROR(100/'Skjema total MA'!F31*G31,0)</f>
        <v>12.826314972747559</v>
      </c>
      <c r="J31" s="288">
        <f t="shared" si="10"/>
        <v>1316227</v>
      </c>
      <c r="K31" s="288">
        <f t="shared" si="11"/>
        <v>1198180</v>
      </c>
      <c r="L31" s="166">
        <f t="shared" si="6"/>
        <v>-9</v>
      </c>
      <c r="M31" s="23">
        <f>IFERROR(100/'Skjema total MA'!I31*K31,0)</f>
        <v>2.7875906811351525</v>
      </c>
      <c r="N31" s="148"/>
    </row>
    <row r="32" spans="1:14" ht="15.75" x14ac:dyDescent="0.2">
      <c r="A32" s="551" t="s">
        <v>376</v>
      </c>
      <c r="B32" s="279"/>
      <c r="C32" s="279"/>
      <c r="D32" s="166"/>
      <c r="E32" s="11"/>
      <c r="F32" s="288">
        <v>123445</v>
      </c>
      <c r="G32" s="288">
        <v>123870.6</v>
      </c>
      <c r="H32" s="166">
        <f t="shared" si="4"/>
        <v>0.3</v>
      </c>
      <c r="I32" s="363">
        <f>IFERROR(100/'Skjema total MA'!F32*G32,0)</f>
        <v>2.8589569506129489</v>
      </c>
      <c r="J32" s="288">
        <f t="shared" si="10"/>
        <v>123445</v>
      </c>
      <c r="K32" s="288">
        <f t="shared" si="11"/>
        <v>123870.6</v>
      </c>
      <c r="L32" s="166">
        <f t="shared" si="6"/>
        <v>0.3</v>
      </c>
      <c r="M32" s="23">
        <f>IFERROR(100/'Skjema total MA'!I32*K32,0)</f>
        <v>2.1418414036606541</v>
      </c>
    </row>
    <row r="33" spans="1:14" ht="15.75" x14ac:dyDescent="0.2">
      <c r="A33" s="551" t="s">
        <v>377</v>
      </c>
      <c r="B33" s="279"/>
      <c r="C33" s="279"/>
      <c r="D33" s="166"/>
      <c r="E33" s="11"/>
      <c r="F33" s="288">
        <v>103772</v>
      </c>
      <c r="G33" s="288">
        <v>204420.7</v>
      </c>
      <c r="H33" s="166">
        <f t="shared" si="4"/>
        <v>97</v>
      </c>
      <c r="I33" s="363">
        <f>IFERROR(100/'Skjema total MA'!F33*G33,0)</f>
        <v>8.1707602995685296</v>
      </c>
      <c r="J33" s="288">
        <f t="shared" si="10"/>
        <v>103772</v>
      </c>
      <c r="K33" s="288">
        <f t="shared" si="11"/>
        <v>204420.7</v>
      </c>
      <c r="L33" s="166">
        <f t="shared" si="6"/>
        <v>97</v>
      </c>
      <c r="M33" s="23">
        <f>IFERROR(100/'Skjema total MA'!I34*K33,0)</f>
        <v>394.29455099775635</v>
      </c>
    </row>
    <row r="34" spans="1:14" ht="15.75" x14ac:dyDescent="0.2">
      <c r="A34" s="13" t="s">
        <v>372</v>
      </c>
      <c r="B34" s="234"/>
      <c r="C34" s="307"/>
      <c r="D34" s="171"/>
      <c r="E34" s="11"/>
      <c r="F34" s="306">
        <v>5146</v>
      </c>
      <c r="G34" s="307">
        <v>5152.3999999999996</v>
      </c>
      <c r="H34" s="171">
        <f t="shared" si="4"/>
        <v>0.1</v>
      </c>
      <c r="I34" s="11">
        <f>IFERROR(100/'Skjema total MA'!F34*G34,0)</f>
        <v>13.234651129727366</v>
      </c>
      <c r="J34" s="234">
        <f t="shared" si="5"/>
        <v>5146</v>
      </c>
      <c r="K34" s="234">
        <f t="shared" si="5"/>
        <v>5152.3999999999996</v>
      </c>
      <c r="L34" s="371">
        <f t="shared" si="6"/>
        <v>0.1</v>
      </c>
      <c r="M34" s="24">
        <f>IFERROR(100/'Skjema total MA'!I34*K34,0)</f>
        <v>9.9381483605175003</v>
      </c>
    </row>
    <row r="35" spans="1:14" ht="15.75" x14ac:dyDescent="0.2">
      <c r="A35" s="13" t="s">
        <v>373</v>
      </c>
      <c r="B35" s="234"/>
      <c r="C35" s="307"/>
      <c r="D35" s="171"/>
      <c r="E35" s="11"/>
      <c r="F35" s="306">
        <v>2808</v>
      </c>
      <c r="G35" s="307">
        <v>5685.4</v>
      </c>
      <c r="H35" s="171">
        <f t="shared" si="4"/>
        <v>102.5</v>
      </c>
      <c r="I35" s="11">
        <f>IFERROR(100/'Skjema total MA'!F35*G35,0)</f>
        <v>8.8951335749309433</v>
      </c>
      <c r="J35" s="234">
        <f t="shared" si="5"/>
        <v>2808</v>
      </c>
      <c r="K35" s="234">
        <f t="shared" si="5"/>
        <v>5685.4</v>
      </c>
      <c r="L35" s="371">
        <f t="shared" si="6"/>
        <v>102.5</v>
      </c>
      <c r="M35" s="24">
        <f>IFERROR(100/'Skjema total MA'!I35*K35,0)</f>
        <v>10.937556384991852</v>
      </c>
    </row>
    <row r="36" spans="1:14" ht="15.75" x14ac:dyDescent="0.2">
      <c r="A36" s="12" t="s">
        <v>290</v>
      </c>
      <c r="B36" s="234"/>
      <c r="C36" s="307"/>
      <c r="D36" s="171"/>
      <c r="E36" s="11"/>
      <c r="F36" s="317"/>
      <c r="G36" s="318"/>
      <c r="H36" s="171"/>
      <c r="I36" s="377"/>
      <c r="J36" s="234"/>
      <c r="K36" s="234"/>
      <c r="L36" s="371"/>
      <c r="M36" s="24"/>
    </row>
    <row r="37" spans="1:14" ht="15.75" x14ac:dyDescent="0.2">
      <c r="A37" s="12" t="s">
        <v>379</v>
      </c>
      <c r="B37" s="234"/>
      <c r="C37" s="307"/>
      <c r="D37" s="171"/>
      <c r="E37" s="11"/>
      <c r="F37" s="317"/>
      <c r="G37" s="319"/>
      <c r="H37" s="171"/>
      <c r="I37" s="377"/>
      <c r="J37" s="234"/>
      <c r="K37" s="234"/>
      <c r="L37" s="371"/>
      <c r="M37" s="24"/>
    </row>
    <row r="38" spans="1:14" ht="15.75" x14ac:dyDescent="0.2">
      <c r="A38" s="12" t="s">
        <v>380</v>
      </c>
      <c r="B38" s="234"/>
      <c r="C38" s="307"/>
      <c r="D38" s="171"/>
      <c r="E38" s="24"/>
      <c r="F38" s="317"/>
      <c r="G38" s="318"/>
      <c r="H38" s="171"/>
      <c r="I38" s="377"/>
      <c r="J38" s="234"/>
      <c r="K38" s="234"/>
      <c r="L38" s="371"/>
      <c r="M38" s="24"/>
    </row>
    <row r="39" spans="1:14" ht="15.75" x14ac:dyDescent="0.2">
      <c r="A39" s="18" t="s">
        <v>381</v>
      </c>
      <c r="B39" s="274"/>
      <c r="C39" s="313"/>
      <c r="D39" s="169"/>
      <c r="E39" s="36"/>
      <c r="F39" s="320"/>
      <c r="G39" s="321"/>
      <c r="H39" s="169"/>
      <c r="I39" s="36"/>
      <c r="J39" s="234"/>
      <c r="K39" s="234"/>
      <c r="L39" s="372"/>
      <c r="M39" s="36"/>
    </row>
    <row r="40" spans="1:14" ht="15.75" x14ac:dyDescent="0.25">
      <c r="A40" s="47"/>
      <c r="B40" s="251"/>
      <c r="C40" s="251"/>
      <c r="D40" s="699"/>
      <c r="E40" s="699"/>
      <c r="F40" s="699"/>
      <c r="G40" s="699"/>
      <c r="H40" s="699"/>
      <c r="I40" s="699"/>
      <c r="J40" s="699"/>
      <c r="K40" s="699"/>
      <c r="L40" s="699"/>
      <c r="M40" s="300"/>
    </row>
    <row r="41" spans="1:14" x14ac:dyDescent="0.2">
      <c r="A41" s="155"/>
    </row>
    <row r="42" spans="1:14" ht="15.75" x14ac:dyDescent="0.25">
      <c r="A42" s="147" t="s">
        <v>279</v>
      </c>
      <c r="B42" s="700"/>
      <c r="C42" s="700"/>
      <c r="D42" s="700"/>
      <c r="E42" s="297"/>
      <c r="F42" s="701"/>
      <c r="G42" s="701"/>
      <c r="H42" s="701"/>
      <c r="I42" s="300"/>
      <c r="J42" s="701"/>
      <c r="K42" s="701"/>
      <c r="L42" s="701"/>
      <c r="M42" s="300"/>
    </row>
    <row r="43" spans="1:14" ht="15.75" x14ac:dyDescent="0.25">
      <c r="A43" s="163"/>
      <c r="B43" s="301"/>
      <c r="C43" s="301"/>
      <c r="D43" s="301"/>
      <c r="E43" s="301"/>
      <c r="F43" s="300"/>
      <c r="G43" s="300"/>
      <c r="H43" s="300"/>
      <c r="I43" s="300"/>
      <c r="J43" s="300"/>
      <c r="K43" s="300"/>
      <c r="L43" s="300"/>
      <c r="M43" s="300"/>
    </row>
    <row r="44" spans="1:14" ht="15.75" x14ac:dyDescent="0.25">
      <c r="A44" s="245"/>
      <c r="B44" s="696" t="s">
        <v>0</v>
      </c>
      <c r="C44" s="697"/>
      <c r="D44" s="697"/>
      <c r="E44" s="241"/>
      <c r="F44" s="300"/>
      <c r="G44" s="300"/>
      <c r="H44" s="300"/>
      <c r="I44" s="300"/>
      <c r="J44" s="300"/>
      <c r="K44" s="300"/>
      <c r="L44" s="300"/>
      <c r="M44" s="300"/>
    </row>
    <row r="45" spans="1:14" s="3" customFormat="1" x14ac:dyDescent="0.2">
      <c r="A45" s="140"/>
      <c r="B45" s="152" t="s">
        <v>422</v>
      </c>
      <c r="C45" s="152" t="s">
        <v>423</v>
      </c>
      <c r="D45" s="162" t="s">
        <v>3</v>
      </c>
      <c r="E45" s="162" t="s">
        <v>29</v>
      </c>
      <c r="F45" s="174"/>
      <c r="G45" s="174"/>
      <c r="H45" s="173"/>
      <c r="I45" s="173"/>
      <c r="J45" s="174"/>
      <c r="K45" s="174"/>
      <c r="L45" s="173"/>
      <c r="M45" s="173"/>
      <c r="N45" s="148"/>
    </row>
    <row r="46" spans="1:14" s="3" customFormat="1" x14ac:dyDescent="0.2">
      <c r="A46" s="666"/>
      <c r="B46" s="242"/>
      <c r="C46" s="242"/>
      <c r="D46" s="243" t="s">
        <v>4</v>
      </c>
      <c r="E46" s="156" t="s">
        <v>30</v>
      </c>
      <c r="F46" s="173"/>
      <c r="G46" s="173"/>
      <c r="H46" s="173"/>
      <c r="I46" s="173"/>
      <c r="J46" s="173"/>
      <c r="K46" s="173"/>
      <c r="L46" s="173"/>
      <c r="M46" s="173"/>
      <c r="N46" s="148"/>
    </row>
    <row r="47" spans="1:14" s="3" customFormat="1" ht="15.75" x14ac:dyDescent="0.2">
      <c r="A47" s="14" t="s">
        <v>23</v>
      </c>
      <c r="B47" s="308"/>
      <c r="C47" s="309"/>
      <c r="D47" s="370"/>
      <c r="E47" s="11"/>
      <c r="F47" s="145"/>
      <c r="G47" s="33"/>
      <c r="H47" s="159"/>
      <c r="I47" s="159"/>
      <c r="J47" s="37"/>
      <c r="K47" s="37"/>
      <c r="L47" s="159"/>
      <c r="M47" s="159"/>
      <c r="N47" s="148"/>
    </row>
    <row r="48" spans="1:14" s="3" customFormat="1" ht="15.75" x14ac:dyDescent="0.2">
      <c r="A48" s="38" t="s">
        <v>382</v>
      </c>
      <c r="B48" s="279"/>
      <c r="C48" s="280"/>
      <c r="D48" s="252"/>
      <c r="E48" s="27"/>
      <c r="F48" s="145"/>
      <c r="G48" s="33"/>
      <c r="H48" s="145"/>
      <c r="I48" s="145"/>
      <c r="J48" s="33"/>
      <c r="K48" s="33"/>
      <c r="L48" s="159"/>
      <c r="M48" s="159"/>
      <c r="N48" s="148"/>
    </row>
    <row r="49" spans="1:14" s="3" customFormat="1" ht="15.75" x14ac:dyDescent="0.2">
      <c r="A49" s="38" t="s">
        <v>383</v>
      </c>
      <c r="B49" s="44"/>
      <c r="C49" s="285"/>
      <c r="D49" s="252"/>
      <c r="E49" s="27"/>
      <c r="F49" s="145"/>
      <c r="G49" s="33"/>
      <c r="H49" s="145"/>
      <c r="I49" s="145"/>
      <c r="J49" s="37"/>
      <c r="K49" s="37"/>
      <c r="L49" s="159"/>
      <c r="M49" s="159"/>
      <c r="N49" s="148"/>
    </row>
    <row r="50" spans="1:14" s="3" customFormat="1" x14ac:dyDescent="0.2">
      <c r="A50" s="294" t="s">
        <v>6</v>
      </c>
      <c r="B50" s="288"/>
      <c r="C50" s="289"/>
      <c r="D50" s="252"/>
      <c r="E50" s="23"/>
      <c r="F50" s="145"/>
      <c r="G50" s="33"/>
      <c r="H50" s="145"/>
      <c r="I50" s="145"/>
      <c r="J50" s="33"/>
      <c r="K50" s="33"/>
      <c r="L50" s="159"/>
      <c r="M50" s="159"/>
      <c r="N50" s="148"/>
    </row>
    <row r="51" spans="1:14" s="3" customFormat="1" x14ac:dyDescent="0.2">
      <c r="A51" s="294" t="s">
        <v>7</v>
      </c>
      <c r="B51" s="288"/>
      <c r="C51" s="289"/>
      <c r="D51" s="252"/>
      <c r="E51" s="23"/>
      <c r="F51" s="145"/>
      <c r="G51" s="33"/>
      <c r="H51" s="145"/>
      <c r="I51" s="145"/>
      <c r="J51" s="33"/>
      <c r="K51" s="33"/>
      <c r="L51" s="159"/>
      <c r="M51" s="159"/>
      <c r="N51" s="148"/>
    </row>
    <row r="52" spans="1:14" s="3" customFormat="1" x14ac:dyDescent="0.2">
      <c r="A52" s="294" t="s">
        <v>8</v>
      </c>
      <c r="B52" s="288"/>
      <c r="C52" s="289"/>
      <c r="D52" s="252"/>
      <c r="E52" s="23"/>
      <c r="F52" s="145"/>
      <c r="G52" s="33"/>
      <c r="H52" s="145"/>
      <c r="I52" s="145"/>
      <c r="J52" s="33"/>
      <c r="K52" s="33"/>
      <c r="L52" s="159"/>
      <c r="M52" s="159"/>
      <c r="N52" s="148"/>
    </row>
    <row r="53" spans="1:14" s="3" customFormat="1" ht="15.75" x14ac:dyDescent="0.2">
      <c r="A53" s="39" t="s">
        <v>384</v>
      </c>
      <c r="B53" s="308"/>
      <c r="C53" s="309"/>
      <c r="D53" s="371"/>
      <c r="E53" s="11"/>
      <c r="F53" s="145"/>
      <c r="G53" s="33"/>
      <c r="H53" s="145"/>
      <c r="I53" s="145"/>
      <c r="J53" s="33"/>
      <c r="K53" s="33"/>
      <c r="L53" s="159"/>
      <c r="M53" s="159"/>
      <c r="N53" s="148"/>
    </row>
    <row r="54" spans="1:14" s="3" customFormat="1" ht="15.75" x14ac:dyDescent="0.2">
      <c r="A54" s="38" t="s">
        <v>382</v>
      </c>
      <c r="B54" s="279"/>
      <c r="C54" s="280"/>
      <c r="D54" s="252"/>
      <c r="E54" s="27"/>
      <c r="F54" s="145"/>
      <c r="G54" s="33"/>
      <c r="H54" s="145"/>
      <c r="I54" s="145"/>
      <c r="J54" s="33"/>
      <c r="K54" s="33"/>
      <c r="L54" s="159"/>
      <c r="M54" s="159"/>
      <c r="N54" s="148"/>
    </row>
    <row r="55" spans="1:14" s="3" customFormat="1" ht="15.75" x14ac:dyDescent="0.2">
      <c r="A55" s="38" t="s">
        <v>383</v>
      </c>
      <c r="B55" s="279"/>
      <c r="C55" s="280"/>
      <c r="D55" s="252"/>
      <c r="E55" s="27"/>
      <c r="F55" s="145"/>
      <c r="G55" s="33"/>
      <c r="H55" s="145"/>
      <c r="I55" s="145"/>
      <c r="J55" s="33"/>
      <c r="K55" s="33"/>
      <c r="L55" s="159"/>
      <c r="M55" s="159"/>
      <c r="N55" s="148"/>
    </row>
    <row r="56" spans="1:14" s="3" customFormat="1" ht="15.75" x14ac:dyDescent="0.2">
      <c r="A56" s="39" t="s">
        <v>385</v>
      </c>
      <c r="B56" s="308"/>
      <c r="C56" s="309"/>
      <c r="D56" s="371"/>
      <c r="E56" s="11"/>
      <c r="F56" s="145"/>
      <c r="G56" s="33"/>
      <c r="H56" s="145"/>
      <c r="I56" s="145"/>
      <c r="J56" s="33"/>
      <c r="K56" s="33"/>
      <c r="L56" s="159"/>
      <c r="M56" s="159"/>
      <c r="N56" s="148"/>
    </row>
    <row r="57" spans="1:14" s="3" customFormat="1" ht="15.75" x14ac:dyDescent="0.2">
      <c r="A57" s="38" t="s">
        <v>382</v>
      </c>
      <c r="B57" s="279"/>
      <c r="C57" s="280"/>
      <c r="D57" s="252"/>
      <c r="E57" s="27"/>
      <c r="F57" s="145"/>
      <c r="G57" s="33"/>
      <c r="H57" s="145"/>
      <c r="I57" s="145"/>
      <c r="J57" s="33"/>
      <c r="K57" s="33"/>
      <c r="L57" s="159"/>
      <c r="M57" s="159"/>
      <c r="N57" s="148"/>
    </row>
    <row r="58" spans="1:14" s="3" customFormat="1" ht="15.75" x14ac:dyDescent="0.2">
      <c r="A58" s="46" t="s">
        <v>383</v>
      </c>
      <c r="B58" s="281"/>
      <c r="C58" s="282"/>
      <c r="D58" s="253"/>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95"/>
      <c r="C62" s="695"/>
      <c r="D62" s="695"/>
      <c r="E62" s="297"/>
      <c r="F62" s="695"/>
      <c r="G62" s="695"/>
      <c r="H62" s="695"/>
      <c r="I62" s="297"/>
      <c r="J62" s="695"/>
      <c r="K62" s="695"/>
      <c r="L62" s="695"/>
      <c r="M62" s="297"/>
    </row>
    <row r="63" spans="1:14" x14ac:dyDescent="0.2">
      <c r="A63" s="144"/>
      <c r="B63" s="696" t="s">
        <v>0</v>
      </c>
      <c r="C63" s="697"/>
      <c r="D63" s="698"/>
      <c r="E63" s="298"/>
      <c r="F63" s="697" t="s">
        <v>1</v>
      </c>
      <c r="G63" s="697"/>
      <c r="H63" s="697"/>
      <c r="I63" s="302"/>
      <c r="J63" s="696" t="s">
        <v>2</v>
      </c>
      <c r="K63" s="697"/>
      <c r="L63" s="697"/>
      <c r="M63" s="302"/>
    </row>
    <row r="64" spans="1:14" x14ac:dyDescent="0.2">
      <c r="A64" s="140"/>
      <c r="B64" s="152" t="s">
        <v>422</v>
      </c>
      <c r="C64" s="152" t="s">
        <v>423</v>
      </c>
      <c r="D64" s="243" t="s">
        <v>3</v>
      </c>
      <c r="E64" s="303" t="s">
        <v>29</v>
      </c>
      <c r="F64" s="152" t="s">
        <v>422</v>
      </c>
      <c r="G64" s="152" t="s">
        <v>423</v>
      </c>
      <c r="H64" s="243" t="s">
        <v>3</v>
      </c>
      <c r="I64" s="303" t="s">
        <v>29</v>
      </c>
      <c r="J64" s="152" t="s">
        <v>422</v>
      </c>
      <c r="K64" s="152" t="s">
        <v>423</v>
      </c>
      <c r="L64" s="243" t="s">
        <v>3</v>
      </c>
      <c r="M64" s="162" t="s">
        <v>29</v>
      </c>
    </row>
    <row r="65" spans="1:14" x14ac:dyDescent="0.2">
      <c r="A65" s="666"/>
      <c r="B65" s="156"/>
      <c r="C65" s="156"/>
      <c r="D65" s="244" t="s">
        <v>4</v>
      </c>
      <c r="E65" s="156" t="s">
        <v>30</v>
      </c>
      <c r="F65" s="161"/>
      <c r="G65" s="161"/>
      <c r="H65" s="243" t="s">
        <v>4</v>
      </c>
      <c r="I65" s="156" t="s">
        <v>30</v>
      </c>
      <c r="J65" s="161"/>
      <c r="K65" s="205"/>
      <c r="L65" s="156" t="s">
        <v>4</v>
      </c>
      <c r="M65" s="156" t="s">
        <v>30</v>
      </c>
    </row>
    <row r="66" spans="1:14" ht="15.75" x14ac:dyDescent="0.2">
      <c r="A66" s="14" t="s">
        <v>23</v>
      </c>
      <c r="B66" s="350">
        <v>115485</v>
      </c>
      <c r="C66" s="350">
        <v>128638.7</v>
      </c>
      <c r="D66" s="347">
        <f t="shared" ref="D66:D111" si="12">IF(B66=0, "    ---- ", IF(ABS(ROUND(100/B66*C66-100,1))&lt;999,ROUND(100/B66*C66-100,1),IF(ROUND(100/B66*C66-100,1)&gt;999,999,-999)))</f>
        <v>11.4</v>
      </c>
      <c r="E66" s="11">
        <f>IFERROR(100/'Skjema total MA'!C66*C66,0)</f>
        <v>2.3948844841488244</v>
      </c>
      <c r="F66" s="349">
        <v>1303853</v>
      </c>
      <c r="G66" s="349">
        <v>1483814.5</v>
      </c>
      <c r="H66" s="347">
        <f t="shared" ref="H66:H111" si="13">IF(F66=0, "    ---- ", IF(ABS(ROUND(100/F66*G66-100,1))&lt;999,ROUND(100/F66*G66-100,1),IF(ROUND(100/F66*G66-100,1)&gt;999,999,-999)))</f>
        <v>13.8</v>
      </c>
      <c r="I66" s="11">
        <f>IFERROR(100/'Skjema total MA'!F66*G66,0)</f>
        <v>9.4368001340369183</v>
      </c>
      <c r="J66" s="307">
        <f t="shared" ref="J66:K79" si="14">SUM(B66,F66)</f>
        <v>1419338</v>
      </c>
      <c r="K66" s="314">
        <f t="shared" si="14"/>
        <v>1612453.2</v>
      </c>
      <c r="L66" s="371">
        <f t="shared" ref="L66:L111" si="15">IF(J66=0, "    ---- ", IF(ABS(ROUND(100/J66*K66-100,1))&lt;999,ROUND(100/J66*K66-100,1),IF(ROUND(100/J66*K66-100,1)&gt;999,999,-999)))</f>
        <v>13.6</v>
      </c>
      <c r="M66" s="11">
        <f>IFERROR(100/'Skjema total MA'!I66*K66,0)</f>
        <v>7.6437339008160388</v>
      </c>
    </row>
    <row r="67" spans="1:14" x14ac:dyDescent="0.2">
      <c r="A67" s="365" t="s">
        <v>9</v>
      </c>
      <c r="B67" s="44">
        <v>115485</v>
      </c>
      <c r="C67" s="145">
        <v>128638.7</v>
      </c>
      <c r="D67" s="166">
        <f t="shared" si="12"/>
        <v>11.4</v>
      </c>
      <c r="E67" s="27">
        <f>IFERROR(100/'Skjema total MA'!C67*C67,0)</f>
        <v>3.0818899121405212</v>
      </c>
      <c r="F67" s="232"/>
      <c r="G67" s="145"/>
      <c r="H67" s="166"/>
      <c r="I67" s="27"/>
      <c r="J67" s="285">
        <f t="shared" si="14"/>
        <v>115485</v>
      </c>
      <c r="K67" s="44">
        <f t="shared" si="14"/>
        <v>128638.7</v>
      </c>
      <c r="L67" s="252">
        <f t="shared" si="15"/>
        <v>11.4</v>
      </c>
      <c r="M67" s="27">
        <f>IFERROR(100/'Skjema total MA'!I67*K67,0)</f>
        <v>3.0818899121405212</v>
      </c>
    </row>
    <row r="68" spans="1:14" x14ac:dyDescent="0.2">
      <c r="A68" s="21" t="s">
        <v>10</v>
      </c>
      <c r="B68" s="290"/>
      <c r="C68" s="291"/>
      <c r="D68" s="166"/>
      <c r="E68" s="27"/>
      <c r="F68" s="290">
        <v>1303853</v>
      </c>
      <c r="G68" s="291">
        <v>1483814.5</v>
      </c>
      <c r="H68" s="166">
        <f t="shared" si="13"/>
        <v>13.8</v>
      </c>
      <c r="I68" s="27">
        <f>IFERROR(100/'Skjema total MA'!F68*G68,0)</f>
        <v>9.5636272484850142</v>
      </c>
      <c r="J68" s="285">
        <f t="shared" si="14"/>
        <v>1303853</v>
      </c>
      <c r="K68" s="44">
        <f t="shared" si="14"/>
        <v>1483814.5</v>
      </c>
      <c r="L68" s="252">
        <f t="shared" si="15"/>
        <v>13.8</v>
      </c>
      <c r="M68" s="27">
        <f>IFERROR(100/'Skjema total MA'!I68*K68,0)</f>
        <v>9.4941986256126718</v>
      </c>
    </row>
    <row r="69" spans="1:14" ht="15.75" x14ac:dyDescent="0.2">
      <c r="A69" s="294" t="s">
        <v>386</v>
      </c>
      <c r="B69" s="279"/>
      <c r="C69" s="279"/>
      <c r="D69" s="166"/>
      <c r="E69" s="363"/>
      <c r="F69" s="279"/>
      <c r="G69" s="279"/>
      <c r="H69" s="166"/>
      <c r="I69" s="363"/>
      <c r="J69" s="288"/>
      <c r="K69" s="288"/>
      <c r="L69" s="166"/>
      <c r="M69" s="23"/>
    </row>
    <row r="70" spans="1:14" x14ac:dyDescent="0.2">
      <c r="A70" s="294" t="s">
        <v>12</v>
      </c>
      <c r="B70" s="292"/>
      <c r="C70" s="293"/>
      <c r="D70" s="166"/>
      <c r="E70" s="363"/>
      <c r="F70" s="279"/>
      <c r="G70" s="279"/>
      <c r="H70" s="166"/>
      <c r="I70" s="363"/>
      <c r="J70" s="288"/>
      <c r="K70" s="288"/>
      <c r="L70" s="166"/>
      <c r="M70" s="23"/>
    </row>
    <row r="71" spans="1:14" x14ac:dyDescent="0.2">
      <c r="A71" s="294" t="s">
        <v>13</v>
      </c>
      <c r="B71" s="233"/>
      <c r="C71" s="287"/>
      <c r="D71" s="166"/>
      <c r="E71" s="363"/>
      <c r="F71" s="279"/>
      <c r="G71" s="279"/>
      <c r="H71" s="166"/>
      <c r="I71" s="363"/>
      <c r="J71" s="288"/>
      <c r="K71" s="288"/>
      <c r="L71" s="166"/>
      <c r="M71" s="23"/>
    </row>
    <row r="72" spans="1:14" ht="15.75" x14ac:dyDescent="0.2">
      <c r="A72" s="294" t="s">
        <v>387</v>
      </c>
      <c r="B72" s="279"/>
      <c r="C72" s="279"/>
      <c r="D72" s="166"/>
      <c r="E72" s="363"/>
      <c r="F72" s="279"/>
      <c r="G72" s="279"/>
      <c r="H72" s="166"/>
      <c r="I72" s="363"/>
      <c r="J72" s="288"/>
      <c r="K72" s="288"/>
      <c r="L72" s="166"/>
      <c r="M72" s="23"/>
    </row>
    <row r="73" spans="1:14" x14ac:dyDescent="0.2">
      <c r="A73" s="294" t="s">
        <v>12</v>
      </c>
      <c r="B73" s="233"/>
      <c r="C73" s="287"/>
      <c r="D73" s="166"/>
      <c r="E73" s="363"/>
      <c r="F73" s="279"/>
      <c r="G73" s="279"/>
      <c r="H73" s="166"/>
      <c r="I73" s="363"/>
      <c r="J73" s="288"/>
      <c r="K73" s="288"/>
      <c r="L73" s="166"/>
      <c r="M73" s="23"/>
    </row>
    <row r="74" spans="1:14" s="3" customFormat="1" x14ac:dyDescent="0.2">
      <c r="A74" s="294" t="s">
        <v>13</v>
      </c>
      <c r="B74" s="233"/>
      <c r="C74" s="287"/>
      <c r="D74" s="166"/>
      <c r="E74" s="363"/>
      <c r="F74" s="279"/>
      <c r="G74" s="279"/>
      <c r="H74" s="166"/>
      <c r="I74" s="363"/>
      <c r="J74" s="288"/>
      <c r="K74" s="288"/>
      <c r="L74" s="166"/>
      <c r="M74" s="23"/>
      <c r="N74" s="148"/>
    </row>
    <row r="75" spans="1:14" s="3" customFormat="1" x14ac:dyDescent="0.2">
      <c r="A75" s="21" t="s">
        <v>356</v>
      </c>
      <c r="B75" s="232"/>
      <c r="C75" s="145"/>
      <c r="D75" s="166"/>
      <c r="E75" s="27"/>
      <c r="F75" s="232"/>
      <c r="G75" s="145"/>
      <c r="H75" s="166"/>
      <c r="I75" s="27"/>
      <c r="J75" s="285"/>
      <c r="K75" s="44"/>
      <c r="L75" s="252"/>
      <c r="M75" s="27"/>
      <c r="N75" s="148"/>
    </row>
    <row r="76" spans="1:14" s="3" customFormat="1" x14ac:dyDescent="0.2">
      <c r="A76" s="21" t="s">
        <v>355</v>
      </c>
      <c r="B76" s="232"/>
      <c r="C76" s="145"/>
      <c r="D76" s="166"/>
      <c r="E76" s="27"/>
      <c r="F76" s="232"/>
      <c r="G76" s="145"/>
      <c r="H76" s="166"/>
      <c r="I76" s="27"/>
      <c r="J76" s="285"/>
      <c r="K76" s="44"/>
      <c r="L76" s="252"/>
      <c r="M76" s="27"/>
      <c r="N76" s="148"/>
    </row>
    <row r="77" spans="1:14" ht="15.75" x14ac:dyDescent="0.2">
      <c r="A77" s="21" t="s">
        <v>388</v>
      </c>
      <c r="B77" s="232">
        <v>115485</v>
      </c>
      <c r="C77" s="232">
        <v>128638.7</v>
      </c>
      <c r="D77" s="166">
        <f t="shared" si="12"/>
        <v>11.4</v>
      </c>
      <c r="E77" s="27">
        <f>IFERROR(100/'Skjema total MA'!C77*C77,0)</f>
        <v>3.0457022972463812</v>
      </c>
      <c r="F77" s="232">
        <v>1303853</v>
      </c>
      <c r="G77" s="145">
        <v>1483814.5</v>
      </c>
      <c r="H77" s="166">
        <f t="shared" si="13"/>
        <v>13.8</v>
      </c>
      <c r="I77" s="27">
        <f>IFERROR(100/'Skjema total MA'!F77*G77,0)</f>
        <v>9.5677784800207792</v>
      </c>
      <c r="J77" s="285">
        <f t="shared" si="14"/>
        <v>1419338</v>
      </c>
      <c r="K77" s="44">
        <f t="shared" si="14"/>
        <v>1612453.2</v>
      </c>
      <c r="L77" s="252">
        <f t="shared" si="15"/>
        <v>13.6</v>
      </c>
      <c r="M77" s="27">
        <f>IFERROR(100/'Skjema total MA'!I77*K77,0)</f>
        <v>8.1717397486012864</v>
      </c>
    </row>
    <row r="78" spans="1:14" x14ac:dyDescent="0.2">
      <c r="A78" s="21" t="s">
        <v>9</v>
      </c>
      <c r="B78" s="232">
        <v>115485</v>
      </c>
      <c r="C78" s="145">
        <v>128638.7</v>
      </c>
      <c r="D78" s="166">
        <f t="shared" si="12"/>
        <v>11.4</v>
      </c>
      <c r="E78" s="27">
        <f>IFERROR(100/'Skjema total MA'!C78*C78,0)</f>
        <v>3.1281930621485463</v>
      </c>
      <c r="F78" s="232"/>
      <c r="G78" s="145"/>
      <c r="H78" s="166"/>
      <c r="I78" s="27"/>
      <c r="J78" s="285">
        <f t="shared" si="14"/>
        <v>115485</v>
      </c>
      <c r="K78" s="44">
        <f t="shared" si="14"/>
        <v>128638.7</v>
      </c>
      <c r="L78" s="252">
        <f t="shared" si="15"/>
        <v>11.4</v>
      </c>
      <c r="M78" s="27">
        <f>IFERROR(100/'Skjema total MA'!I78*K78,0)</f>
        <v>3.1281930621485463</v>
      </c>
    </row>
    <row r="79" spans="1:14" x14ac:dyDescent="0.2">
      <c r="A79" s="21" t="s">
        <v>10</v>
      </c>
      <c r="B79" s="290"/>
      <c r="C79" s="291"/>
      <c r="D79" s="166"/>
      <c r="E79" s="27"/>
      <c r="F79" s="290">
        <v>1303853</v>
      </c>
      <c r="G79" s="291">
        <v>1483814.5</v>
      </c>
      <c r="H79" s="166">
        <f t="shared" si="13"/>
        <v>13.8</v>
      </c>
      <c r="I79" s="27">
        <f>IFERROR(100/'Skjema total MA'!F79*G79,0)</f>
        <v>9.5677784800207792</v>
      </c>
      <c r="J79" s="285">
        <f t="shared" si="14"/>
        <v>1303853</v>
      </c>
      <c r="K79" s="44">
        <f t="shared" si="14"/>
        <v>1483814.5</v>
      </c>
      <c r="L79" s="252">
        <f t="shared" si="15"/>
        <v>13.8</v>
      </c>
      <c r="M79" s="27">
        <f>IFERROR(100/'Skjema total MA'!I79*K79,0)</f>
        <v>9.4995554885506692</v>
      </c>
    </row>
    <row r="80" spans="1:14" ht="15.75" x14ac:dyDescent="0.2">
      <c r="A80" s="294" t="s">
        <v>386</v>
      </c>
      <c r="B80" s="279"/>
      <c r="C80" s="279"/>
      <c r="D80" s="166"/>
      <c r="E80" s="363"/>
      <c r="F80" s="279"/>
      <c r="G80" s="279"/>
      <c r="H80" s="166"/>
      <c r="I80" s="363"/>
      <c r="J80" s="288"/>
      <c r="K80" s="288"/>
      <c r="L80" s="166"/>
      <c r="M80" s="23"/>
    </row>
    <row r="81" spans="1:13" x14ac:dyDescent="0.2">
      <c r="A81" s="294" t="s">
        <v>12</v>
      </c>
      <c r="B81" s="233"/>
      <c r="C81" s="287"/>
      <c r="D81" s="166"/>
      <c r="E81" s="363"/>
      <c r="F81" s="279"/>
      <c r="G81" s="279"/>
      <c r="H81" s="166"/>
      <c r="I81" s="363"/>
      <c r="J81" s="288"/>
      <c r="K81" s="288"/>
      <c r="L81" s="166"/>
      <c r="M81" s="23"/>
    </row>
    <row r="82" spans="1:13" x14ac:dyDescent="0.2">
      <c r="A82" s="294" t="s">
        <v>13</v>
      </c>
      <c r="B82" s="233"/>
      <c r="C82" s="287"/>
      <c r="D82" s="166"/>
      <c r="E82" s="363"/>
      <c r="F82" s="279"/>
      <c r="G82" s="279"/>
      <c r="H82" s="166"/>
      <c r="I82" s="363"/>
      <c r="J82" s="288"/>
      <c r="K82" s="288"/>
      <c r="L82" s="166"/>
      <c r="M82" s="23"/>
    </row>
    <row r="83" spans="1:13" ht="15.75" x14ac:dyDescent="0.2">
      <c r="A83" s="294" t="s">
        <v>387</v>
      </c>
      <c r="B83" s="279"/>
      <c r="C83" s="279"/>
      <c r="D83" s="166"/>
      <c r="E83" s="363"/>
      <c r="F83" s="279"/>
      <c r="G83" s="279"/>
      <c r="H83" s="166"/>
      <c r="I83" s="363"/>
      <c r="J83" s="288"/>
      <c r="K83" s="288"/>
      <c r="L83" s="166"/>
      <c r="M83" s="23"/>
    </row>
    <row r="84" spans="1:13" x14ac:dyDescent="0.2">
      <c r="A84" s="294" t="s">
        <v>12</v>
      </c>
      <c r="B84" s="233"/>
      <c r="C84" s="287"/>
      <c r="D84" s="166"/>
      <c r="E84" s="363"/>
      <c r="F84" s="279"/>
      <c r="G84" s="279"/>
      <c r="H84" s="166"/>
      <c r="I84" s="363"/>
      <c r="J84" s="288"/>
      <c r="K84" s="288"/>
      <c r="L84" s="166"/>
      <c r="M84" s="23"/>
    </row>
    <row r="85" spans="1:13" x14ac:dyDescent="0.2">
      <c r="A85" s="294" t="s">
        <v>13</v>
      </c>
      <c r="B85" s="233"/>
      <c r="C85" s="287"/>
      <c r="D85" s="166"/>
      <c r="E85" s="363"/>
      <c r="F85" s="279"/>
      <c r="G85" s="279"/>
      <c r="H85" s="166"/>
      <c r="I85" s="363"/>
      <c r="J85" s="288"/>
      <c r="K85" s="288"/>
      <c r="L85" s="166"/>
      <c r="M85" s="23"/>
    </row>
    <row r="86" spans="1:13" ht="15.75" x14ac:dyDescent="0.2">
      <c r="A86" s="21" t="s">
        <v>389</v>
      </c>
      <c r="B86" s="232"/>
      <c r="C86" s="145"/>
      <c r="D86" s="166"/>
      <c r="E86" s="27"/>
      <c r="F86" s="232"/>
      <c r="G86" s="145"/>
      <c r="H86" s="166"/>
      <c r="I86" s="27"/>
      <c r="J86" s="285"/>
      <c r="K86" s="44"/>
      <c r="L86" s="252"/>
      <c r="M86" s="27"/>
    </row>
    <row r="87" spans="1:13" ht="15.75" x14ac:dyDescent="0.2">
      <c r="A87" s="13" t="s">
        <v>371</v>
      </c>
      <c r="B87" s="350">
        <v>4877590</v>
      </c>
      <c r="C87" s="350">
        <v>5163835</v>
      </c>
      <c r="D87" s="171">
        <f t="shared" si="12"/>
        <v>5.9</v>
      </c>
      <c r="E87" s="11">
        <f>IFERROR(100/'Skjema total MA'!C87*C87,0)</f>
        <v>1.3244484380177137</v>
      </c>
      <c r="F87" s="349">
        <v>21783345</v>
      </c>
      <c r="G87" s="349">
        <v>25090867.899999999</v>
      </c>
      <c r="H87" s="171">
        <f t="shared" si="13"/>
        <v>15.2</v>
      </c>
      <c r="I87" s="11">
        <f>IFERROR(100/'Skjema total MA'!F87*G87,0)</f>
        <v>8.8399691832990381</v>
      </c>
      <c r="J87" s="307">
        <f t="shared" ref="J87:K111" si="16">SUM(B87,F87)</f>
        <v>26660935</v>
      </c>
      <c r="K87" s="234">
        <f t="shared" si="16"/>
        <v>30254702.899999999</v>
      </c>
      <c r="L87" s="371">
        <f t="shared" si="15"/>
        <v>13.5</v>
      </c>
      <c r="M87" s="11">
        <f>IFERROR(100/'Skjema total MA'!I87*K87,0)</f>
        <v>4.4906936807324103</v>
      </c>
    </row>
    <row r="88" spans="1:13" x14ac:dyDescent="0.2">
      <c r="A88" s="21" t="s">
        <v>9</v>
      </c>
      <c r="B88" s="232">
        <v>4877590</v>
      </c>
      <c r="C88" s="145">
        <v>5163835</v>
      </c>
      <c r="D88" s="166">
        <f t="shared" si="12"/>
        <v>5.9</v>
      </c>
      <c r="E88" s="27">
        <f>IFERROR(100/'Skjema total MA'!C88*C88,0)</f>
        <v>1.3560609807066284</v>
      </c>
      <c r="F88" s="232"/>
      <c r="G88" s="145"/>
      <c r="H88" s="166"/>
      <c r="I88" s="27"/>
      <c r="J88" s="285">
        <f t="shared" si="16"/>
        <v>4877590</v>
      </c>
      <c r="K88" s="44">
        <f t="shared" si="16"/>
        <v>5163835</v>
      </c>
      <c r="L88" s="252">
        <f t="shared" si="15"/>
        <v>5.9</v>
      </c>
      <c r="M88" s="27">
        <f>IFERROR(100/'Skjema total MA'!I88*K88,0)</f>
        <v>1.3560609807066284</v>
      </c>
    </row>
    <row r="89" spans="1:13" x14ac:dyDescent="0.2">
      <c r="A89" s="21" t="s">
        <v>10</v>
      </c>
      <c r="B89" s="232"/>
      <c r="C89" s="145"/>
      <c r="D89" s="166"/>
      <c r="E89" s="27"/>
      <c r="F89" s="232">
        <v>21783345</v>
      </c>
      <c r="G89" s="145">
        <v>25090867.899999999</v>
      </c>
      <c r="H89" s="166">
        <f t="shared" si="13"/>
        <v>15.2</v>
      </c>
      <c r="I89" s="27">
        <f>IFERROR(100/'Skjema total MA'!F89*G89,0)</f>
        <v>8.8806688110423426</v>
      </c>
      <c r="J89" s="285">
        <f t="shared" si="16"/>
        <v>21783345</v>
      </c>
      <c r="K89" s="44">
        <f t="shared" si="16"/>
        <v>25090867.899999999</v>
      </c>
      <c r="L89" s="252">
        <f t="shared" si="15"/>
        <v>15.2</v>
      </c>
      <c r="M89" s="27">
        <f>IFERROR(100/'Skjema total MA'!I89*K89,0)</f>
        <v>8.7897568615386579</v>
      </c>
    </row>
    <row r="90" spans="1:13" ht="15.75" x14ac:dyDescent="0.2">
      <c r="A90" s="294" t="s">
        <v>386</v>
      </c>
      <c r="B90" s="279"/>
      <c r="C90" s="279"/>
      <c r="D90" s="166"/>
      <c r="E90" s="363"/>
      <c r="F90" s="279"/>
      <c r="G90" s="279"/>
      <c r="H90" s="166"/>
      <c r="I90" s="363"/>
      <c r="J90" s="288"/>
      <c r="K90" s="288"/>
      <c r="L90" s="166"/>
      <c r="M90" s="23"/>
    </row>
    <row r="91" spans="1:13" x14ac:dyDescent="0.2">
      <c r="A91" s="294" t="s">
        <v>12</v>
      </c>
      <c r="B91" s="233"/>
      <c r="C91" s="287"/>
      <c r="D91" s="166"/>
      <c r="E91" s="363"/>
      <c r="F91" s="279"/>
      <c r="G91" s="279"/>
      <c r="H91" s="166"/>
      <c r="I91" s="363"/>
      <c r="J91" s="288"/>
      <c r="K91" s="288"/>
      <c r="L91" s="166"/>
      <c r="M91" s="23"/>
    </row>
    <row r="92" spans="1:13" x14ac:dyDescent="0.2">
      <c r="A92" s="294" t="s">
        <v>13</v>
      </c>
      <c r="B92" s="233"/>
      <c r="C92" s="287"/>
      <c r="D92" s="166"/>
      <c r="E92" s="363"/>
      <c r="F92" s="279"/>
      <c r="G92" s="279"/>
      <c r="H92" s="166"/>
      <c r="I92" s="363"/>
      <c r="J92" s="288"/>
      <c r="K92" s="288"/>
      <c r="L92" s="166"/>
      <c r="M92" s="23"/>
    </row>
    <row r="93" spans="1:13" ht="15.75" x14ac:dyDescent="0.2">
      <c r="A93" s="294" t="s">
        <v>387</v>
      </c>
      <c r="B93" s="279"/>
      <c r="C93" s="279"/>
      <c r="D93" s="166"/>
      <c r="E93" s="363"/>
      <c r="F93" s="279"/>
      <c r="G93" s="279"/>
      <c r="H93" s="166"/>
      <c r="I93" s="363"/>
      <c r="J93" s="288"/>
      <c r="K93" s="288"/>
      <c r="L93" s="166"/>
      <c r="M93" s="23"/>
    </row>
    <row r="94" spans="1:13" x14ac:dyDescent="0.2">
      <c r="A94" s="294" t="s">
        <v>12</v>
      </c>
      <c r="B94" s="233"/>
      <c r="C94" s="287"/>
      <c r="D94" s="166"/>
      <c r="E94" s="363"/>
      <c r="F94" s="279"/>
      <c r="G94" s="279"/>
      <c r="H94" s="166"/>
      <c r="I94" s="363"/>
      <c r="J94" s="288"/>
      <c r="K94" s="288"/>
      <c r="L94" s="166"/>
      <c r="M94" s="23"/>
    </row>
    <row r="95" spans="1:13" x14ac:dyDescent="0.2">
      <c r="A95" s="294" t="s">
        <v>13</v>
      </c>
      <c r="B95" s="233"/>
      <c r="C95" s="287"/>
      <c r="D95" s="166"/>
      <c r="E95" s="363"/>
      <c r="F95" s="279"/>
      <c r="G95" s="279"/>
      <c r="H95" s="166"/>
      <c r="I95" s="363"/>
      <c r="J95" s="288"/>
      <c r="K95" s="288"/>
      <c r="L95" s="166"/>
      <c r="M95" s="23"/>
    </row>
    <row r="96" spans="1:13" x14ac:dyDescent="0.2">
      <c r="A96" s="21" t="s">
        <v>354</v>
      </c>
      <c r="B96" s="232"/>
      <c r="C96" s="145"/>
      <c r="D96" s="166"/>
      <c r="E96" s="27"/>
      <c r="F96" s="232"/>
      <c r="G96" s="145"/>
      <c r="H96" s="166"/>
      <c r="I96" s="27"/>
      <c r="J96" s="285"/>
      <c r="K96" s="44"/>
      <c r="L96" s="252"/>
      <c r="M96" s="27"/>
    </row>
    <row r="97" spans="1:13" x14ac:dyDescent="0.2">
      <c r="A97" s="21" t="s">
        <v>353</v>
      </c>
      <c r="B97" s="232"/>
      <c r="C97" s="145"/>
      <c r="D97" s="166"/>
      <c r="E97" s="27"/>
      <c r="F97" s="232"/>
      <c r="G97" s="145"/>
      <c r="H97" s="166"/>
      <c r="I97" s="27"/>
      <c r="J97" s="285"/>
      <c r="K97" s="44"/>
      <c r="L97" s="252"/>
      <c r="M97" s="27"/>
    </row>
    <row r="98" spans="1:13" ht="15.75" x14ac:dyDescent="0.2">
      <c r="A98" s="21" t="s">
        <v>388</v>
      </c>
      <c r="B98" s="232">
        <v>4877590</v>
      </c>
      <c r="C98" s="232">
        <v>5163835</v>
      </c>
      <c r="D98" s="166">
        <f t="shared" si="12"/>
        <v>5.9</v>
      </c>
      <c r="E98" s="27">
        <f>IFERROR(100/'Skjema total MA'!C98*C98,0)</f>
        <v>1.3625775277718994</v>
      </c>
      <c r="F98" s="290">
        <v>21783345</v>
      </c>
      <c r="G98" s="290">
        <v>25090867.899999999</v>
      </c>
      <c r="H98" s="166">
        <f t="shared" si="13"/>
        <v>15.2</v>
      </c>
      <c r="I98" s="27">
        <f>IFERROR(100/'Skjema total MA'!F98*G98,0)</f>
        <v>8.9053230140951474</v>
      </c>
      <c r="J98" s="285">
        <f t="shared" si="16"/>
        <v>26660935</v>
      </c>
      <c r="K98" s="44">
        <f t="shared" si="16"/>
        <v>30254702.899999999</v>
      </c>
      <c r="L98" s="252">
        <f t="shared" si="15"/>
        <v>13.5</v>
      </c>
      <c r="M98" s="27">
        <f>IFERROR(100/'Skjema total MA'!I98*K98,0)</f>
        <v>4.5790030860187949</v>
      </c>
    </row>
    <row r="99" spans="1:13" x14ac:dyDescent="0.2">
      <c r="A99" s="21" t="s">
        <v>9</v>
      </c>
      <c r="B99" s="290">
        <v>4877590</v>
      </c>
      <c r="C99" s="291">
        <v>5163835</v>
      </c>
      <c r="D99" s="166">
        <f t="shared" si="12"/>
        <v>5.9</v>
      </c>
      <c r="E99" s="27">
        <f>IFERROR(100/'Skjema total MA'!C99*C99,0)</f>
        <v>1.373165821220768</v>
      </c>
      <c r="F99" s="232"/>
      <c r="G99" s="145"/>
      <c r="H99" s="166"/>
      <c r="I99" s="27"/>
      <c r="J99" s="285">
        <f t="shared" si="16"/>
        <v>4877590</v>
      </c>
      <c r="K99" s="44">
        <f t="shared" si="16"/>
        <v>5163835</v>
      </c>
      <c r="L99" s="252">
        <f t="shared" si="15"/>
        <v>5.9</v>
      </c>
      <c r="M99" s="27">
        <f>IFERROR(100/'Skjema total MA'!I99*K99,0)</f>
        <v>1.373165821220768</v>
      </c>
    </row>
    <row r="100" spans="1:13" x14ac:dyDescent="0.2">
      <c r="A100" s="21" t="s">
        <v>10</v>
      </c>
      <c r="B100" s="290"/>
      <c r="C100" s="291"/>
      <c r="D100" s="166"/>
      <c r="E100" s="27"/>
      <c r="F100" s="232">
        <v>21783345</v>
      </c>
      <c r="G100" s="232">
        <v>25090867.899999999</v>
      </c>
      <c r="H100" s="166">
        <f t="shared" si="13"/>
        <v>15.2</v>
      </c>
      <c r="I100" s="27">
        <f>IFERROR(100/'Skjema total MA'!F100*G100,0)</f>
        <v>8.9053230140951474</v>
      </c>
      <c r="J100" s="285">
        <f t="shared" si="16"/>
        <v>21783345</v>
      </c>
      <c r="K100" s="44">
        <f t="shared" si="16"/>
        <v>25090867.899999999</v>
      </c>
      <c r="L100" s="252">
        <f t="shared" si="15"/>
        <v>15.2</v>
      </c>
      <c r="M100" s="27">
        <f>IFERROR(100/'Skjema total MA'!I100*K100,0)</f>
        <v>8.8139081887455539</v>
      </c>
    </row>
    <row r="101" spans="1:13" ht="15.75" x14ac:dyDescent="0.2">
      <c r="A101" s="294" t="s">
        <v>386</v>
      </c>
      <c r="B101" s="279"/>
      <c r="C101" s="279"/>
      <c r="D101" s="166"/>
      <c r="E101" s="363"/>
      <c r="F101" s="279"/>
      <c r="G101" s="279"/>
      <c r="H101" s="166"/>
      <c r="I101" s="363"/>
      <c r="J101" s="288"/>
      <c r="K101" s="288"/>
      <c r="L101" s="166"/>
      <c r="M101" s="23"/>
    </row>
    <row r="102" spans="1:13" x14ac:dyDescent="0.2">
      <c r="A102" s="294" t="s">
        <v>12</v>
      </c>
      <c r="B102" s="233"/>
      <c r="C102" s="287"/>
      <c r="D102" s="166"/>
      <c r="E102" s="363"/>
      <c r="F102" s="279"/>
      <c r="G102" s="279"/>
      <c r="H102" s="166"/>
      <c r="I102" s="363"/>
      <c r="J102" s="288"/>
      <c r="K102" s="288"/>
      <c r="L102" s="166"/>
      <c r="M102" s="23"/>
    </row>
    <row r="103" spans="1:13" x14ac:dyDescent="0.2">
      <c r="A103" s="294" t="s">
        <v>13</v>
      </c>
      <c r="B103" s="233"/>
      <c r="C103" s="287"/>
      <c r="D103" s="166"/>
      <c r="E103" s="363"/>
      <c r="F103" s="279"/>
      <c r="G103" s="279"/>
      <c r="H103" s="166"/>
      <c r="I103" s="363"/>
      <c r="J103" s="288"/>
      <c r="K103" s="288"/>
      <c r="L103" s="166"/>
      <c r="M103" s="23"/>
    </row>
    <row r="104" spans="1:13" ht="15.75" x14ac:dyDescent="0.2">
      <c r="A104" s="294" t="s">
        <v>387</v>
      </c>
      <c r="B104" s="279"/>
      <c r="C104" s="279"/>
      <c r="D104" s="166"/>
      <c r="E104" s="363"/>
      <c r="F104" s="279"/>
      <c r="G104" s="279"/>
      <c r="H104" s="166"/>
      <c r="I104" s="363"/>
      <c r="J104" s="288"/>
      <c r="K104" s="288"/>
      <c r="L104" s="166"/>
      <c r="M104" s="23"/>
    </row>
    <row r="105" spans="1:13" x14ac:dyDescent="0.2">
      <c r="A105" s="294" t="s">
        <v>12</v>
      </c>
      <c r="B105" s="233"/>
      <c r="C105" s="287"/>
      <c r="D105" s="166"/>
      <c r="E105" s="363"/>
      <c r="F105" s="279"/>
      <c r="G105" s="279"/>
      <c r="H105" s="166"/>
      <c r="I105" s="363"/>
      <c r="J105" s="288"/>
      <c r="K105" s="288"/>
      <c r="L105" s="166"/>
      <c r="M105" s="23"/>
    </row>
    <row r="106" spans="1:13" x14ac:dyDescent="0.2">
      <c r="A106" s="294" t="s">
        <v>13</v>
      </c>
      <c r="B106" s="233"/>
      <c r="C106" s="287"/>
      <c r="D106" s="166"/>
      <c r="E106" s="363"/>
      <c r="F106" s="279"/>
      <c r="G106" s="279"/>
      <c r="H106" s="166"/>
      <c r="I106" s="363"/>
      <c r="J106" s="288"/>
      <c r="K106" s="288"/>
      <c r="L106" s="166"/>
      <c r="M106" s="23"/>
    </row>
    <row r="107" spans="1:13" ht="15.75" x14ac:dyDescent="0.2">
      <c r="A107" s="21" t="s">
        <v>389</v>
      </c>
      <c r="B107" s="232"/>
      <c r="C107" s="145"/>
      <c r="D107" s="166"/>
      <c r="E107" s="27"/>
      <c r="F107" s="232"/>
      <c r="G107" s="145"/>
      <c r="H107" s="166"/>
      <c r="I107" s="27"/>
      <c r="J107" s="285"/>
      <c r="K107" s="44"/>
      <c r="L107" s="252"/>
      <c r="M107" s="27"/>
    </row>
    <row r="108" spans="1:13" ht="15.75" x14ac:dyDescent="0.2">
      <c r="A108" s="21" t="s">
        <v>390</v>
      </c>
      <c r="B108" s="232">
        <v>4040402</v>
      </c>
      <c r="C108" s="232">
        <v>4135088</v>
      </c>
      <c r="D108" s="166">
        <f t="shared" si="12"/>
        <v>2.2999999999999998</v>
      </c>
      <c r="E108" s="27">
        <f>IFERROR(100/'Skjema total MA'!C108*C108,0)</f>
        <v>1.310791471028296</v>
      </c>
      <c r="F108" s="232"/>
      <c r="G108" s="232"/>
      <c r="H108" s="166"/>
      <c r="I108" s="27"/>
      <c r="J108" s="285">
        <f t="shared" si="16"/>
        <v>4040402</v>
      </c>
      <c r="K108" s="44">
        <f t="shared" si="16"/>
        <v>4135088</v>
      </c>
      <c r="L108" s="252">
        <f t="shared" si="15"/>
        <v>2.2999999999999998</v>
      </c>
      <c r="M108" s="27">
        <f>IFERROR(100/'Skjema total MA'!I108*K108,0)</f>
        <v>1.2465926032184889</v>
      </c>
    </row>
    <row r="109" spans="1:13" ht="15.75" x14ac:dyDescent="0.2">
      <c r="A109" s="21" t="s">
        <v>391</v>
      </c>
      <c r="B109" s="232"/>
      <c r="C109" s="232"/>
      <c r="D109" s="166"/>
      <c r="E109" s="27"/>
      <c r="F109" s="232">
        <v>7453554</v>
      </c>
      <c r="G109" s="232">
        <v>8678010.1999999993</v>
      </c>
      <c r="H109" s="166">
        <f t="shared" si="13"/>
        <v>16.399999999999999</v>
      </c>
      <c r="I109" s="27">
        <f>IFERROR(100/'Skjema total MA'!F109*G109,0)</f>
        <v>9.0731378643685705</v>
      </c>
      <c r="J109" s="285">
        <f t="shared" si="16"/>
        <v>7453554</v>
      </c>
      <c r="K109" s="44">
        <f t="shared" si="16"/>
        <v>8678010.1999999993</v>
      </c>
      <c r="L109" s="252">
        <f t="shared" si="15"/>
        <v>16.399999999999999</v>
      </c>
      <c r="M109" s="27">
        <f>IFERROR(100/'Skjema total MA'!I109*K109,0)</f>
        <v>8.9786739682716341</v>
      </c>
    </row>
    <row r="110" spans="1:13" ht="15.75" x14ac:dyDescent="0.2">
      <c r="A110" s="21" t="s">
        <v>392</v>
      </c>
      <c r="B110" s="232"/>
      <c r="C110" s="232"/>
      <c r="D110" s="166"/>
      <c r="E110" s="27"/>
      <c r="F110" s="232"/>
      <c r="G110" s="232"/>
      <c r="H110" s="166"/>
      <c r="I110" s="27"/>
      <c r="J110" s="285"/>
      <c r="K110" s="44"/>
      <c r="L110" s="252"/>
      <c r="M110" s="27"/>
    </row>
    <row r="111" spans="1:13" ht="15.75" x14ac:dyDescent="0.2">
      <c r="A111" s="13" t="s">
        <v>372</v>
      </c>
      <c r="B111" s="306">
        <v>35824</v>
      </c>
      <c r="C111" s="159">
        <v>53017.1</v>
      </c>
      <c r="D111" s="171">
        <f t="shared" si="12"/>
        <v>48</v>
      </c>
      <c r="E111" s="11">
        <f>IFERROR(100/'Skjema total MA'!C111*C111,0)</f>
        <v>20.115622279073715</v>
      </c>
      <c r="F111" s="306">
        <v>841284</v>
      </c>
      <c r="G111" s="159">
        <v>1116781.1000000001</v>
      </c>
      <c r="H111" s="171">
        <f t="shared" si="13"/>
        <v>32.700000000000003</v>
      </c>
      <c r="I111" s="11">
        <f>IFERROR(100/'Skjema total MA'!F111*G111,0)</f>
        <v>13.686309932559567</v>
      </c>
      <c r="J111" s="307">
        <f t="shared" si="16"/>
        <v>877108</v>
      </c>
      <c r="K111" s="234">
        <f t="shared" si="16"/>
        <v>1169798.2000000002</v>
      </c>
      <c r="L111" s="371">
        <f t="shared" si="15"/>
        <v>33.4</v>
      </c>
      <c r="M111" s="11">
        <f>IFERROR(100/'Skjema total MA'!I111*K111,0)</f>
        <v>13.887478194003574</v>
      </c>
    </row>
    <row r="112" spans="1:13" x14ac:dyDescent="0.2">
      <c r="A112" s="21" t="s">
        <v>9</v>
      </c>
      <c r="B112" s="232">
        <v>35824</v>
      </c>
      <c r="C112" s="145">
        <v>53017.1</v>
      </c>
      <c r="D112" s="166">
        <f t="shared" ref="D112:D120" si="17">IF(B112=0, "    ---- ", IF(ABS(ROUND(100/B112*C112-100,1))&lt;999,ROUND(100/B112*C112-100,1),IF(ROUND(100/B112*C112-100,1)&gt;999,999,-999)))</f>
        <v>48</v>
      </c>
      <c r="E112" s="27">
        <f>IFERROR(100/'Skjema total MA'!C112*C112,0)</f>
        <v>25.156817619185393</v>
      </c>
      <c r="F112" s="232"/>
      <c r="G112" s="145"/>
      <c r="H112" s="166"/>
      <c r="I112" s="27"/>
      <c r="J112" s="285">
        <f t="shared" ref="J112:K125" si="18">SUM(B112,F112)</f>
        <v>35824</v>
      </c>
      <c r="K112" s="44">
        <f t="shared" si="18"/>
        <v>53017.1</v>
      </c>
      <c r="L112" s="252">
        <f t="shared" ref="L112:L125" si="19">IF(J112=0, "    ---- ", IF(ABS(ROUND(100/J112*K112-100,1))&lt;999,ROUND(100/J112*K112-100,1),IF(ROUND(100/J112*K112-100,1)&gt;999,999,-999)))</f>
        <v>48</v>
      </c>
      <c r="M112" s="27">
        <f>IFERROR(100/'Skjema total MA'!I112*K112,0)</f>
        <v>24.543265247498478</v>
      </c>
    </row>
    <row r="113" spans="1:14" x14ac:dyDescent="0.2">
      <c r="A113" s="21" t="s">
        <v>10</v>
      </c>
      <c r="B113" s="232"/>
      <c r="C113" s="145"/>
      <c r="D113" s="166"/>
      <c r="E113" s="27"/>
      <c r="F113" s="232">
        <v>841284</v>
      </c>
      <c r="G113" s="145">
        <v>1116781.1000000001</v>
      </c>
      <c r="H113" s="166">
        <f t="shared" ref="H113:H125" si="20">IF(F113=0, "    ---- ", IF(ABS(ROUND(100/F113*G113-100,1))&lt;999,ROUND(100/F113*G113-100,1),IF(ROUND(100/F113*G113-100,1)&gt;999,999,-999)))</f>
        <v>32.700000000000003</v>
      </c>
      <c r="I113" s="27">
        <f>IFERROR(100/'Skjema total MA'!F113*G113,0)</f>
        <v>13.740689212536571</v>
      </c>
      <c r="J113" s="285">
        <f t="shared" si="18"/>
        <v>841284</v>
      </c>
      <c r="K113" s="44">
        <f t="shared" si="18"/>
        <v>1116781.1000000001</v>
      </c>
      <c r="L113" s="252">
        <f t="shared" si="19"/>
        <v>32.700000000000003</v>
      </c>
      <c r="M113" s="27">
        <f>IFERROR(100/'Skjema total MA'!I113*K113,0)</f>
        <v>13.739007935800768</v>
      </c>
    </row>
    <row r="114" spans="1:14" x14ac:dyDescent="0.2">
      <c r="A114" s="21" t="s">
        <v>26</v>
      </c>
      <c r="B114" s="232"/>
      <c r="C114" s="145"/>
      <c r="D114" s="166"/>
      <c r="E114" s="27"/>
      <c r="F114" s="232"/>
      <c r="G114" s="145"/>
      <c r="H114" s="166"/>
      <c r="I114" s="27"/>
      <c r="J114" s="285"/>
      <c r="K114" s="44"/>
      <c r="L114" s="252"/>
      <c r="M114" s="27"/>
    </row>
    <row r="115" spans="1:14" x14ac:dyDescent="0.2">
      <c r="A115" s="294" t="s">
        <v>15</v>
      </c>
      <c r="B115" s="279"/>
      <c r="C115" s="279"/>
      <c r="D115" s="166"/>
      <c r="E115" s="363"/>
      <c r="F115" s="279"/>
      <c r="G115" s="279"/>
      <c r="H115" s="166"/>
      <c r="I115" s="363"/>
      <c r="J115" s="288"/>
      <c r="K115" s="288"/>
      <c r="L115" s="166"/>
      <c r="M115" s="23"/>
    </row>
    <row r="116" spans="1:14" ht="15.75" x14ac:dyDescent="0.2">
      <c r="A116" s="21" t="s">
        <v>393</v>
      </c>
      <c r="B116" s="232">
        <v>5896</v>
      </c>
      <c r="C116" s="232">
        <v>8103.3</v>
      </c>
      <c r="D116" s="166">
        <f t="shared" si="17"/>
        <v>37.4</v>
      </c>
      <c r="E116" s="27">
        <f>IFERROR(100/'Skjema total MA'!C116*C116,0)</f>
        <v>11.356708983673467</v>
      </c>
      <c r="F116" s="232"/>
      <c r="G116" s="232"/>
      <c r="H116" s="166"/>
      <c r="I116" s="27"/>
      <c r="J116" s="285">
        <f t="shared" si="18"/>
        <v>5896</v>
      </c>
      <c r="K116" s="44">
        <f t="shared" si="18"/>
        <v>8103.3</v>
      </c>
      <c r="L116" s="252">
        <f t="shared" si="19"/>
        <v>37.4</v>
      </c>
      <c r="M116" s="27">
        <f>IFERROR(100/'Skjema total MA'!I116*K116,0)</f>
        <v>10.575828540677678</v>
      </c>
    </row>
    <row r="117" spans="1:14" ht="15.75" x14ac:dyDescent="0.2">
      <c r="A117" s="21" t="s">
        <v>394</v>
      </c>
      <c r="B117" s="232"/>
      <c r="C117" s="232"/>
      <c r="D117" s="166"/>
      <c r="E117" s="27"/>
      <c r="F117" s="232">
        <v>120626</v>
      </c>
      <c r="G117" s="232">
        <v>117753.5</v>
      </c>
      <c r="H117" s="166">
        <f t="shared" si="20"/>
        <v>-2.4</v>
      </c>
      <c r="I117" s="27">
        <f>IFERROR(100/'Skjema total MA'!F117*G117,0)</f>
        <v>7.2838987391750116</v>
      </c>
      <c r="J117" s="285">
        <f t="shared" si="18"/>
        <v>120626</v>
      </c>
      <c r="K117" s="44">
        <f t="shared" si="18"/>
        <v>117753.5</v>
      </c>
      <c r="L117" s="252">
        <f t="shared" si="19"/>
        <v>-2.4</v>
      </c>
      <c r="M117" s="27">
        <f>IFERROR(100/'Skjema total MA'!I117*K117,0)</f>
        <v>7.2838987391750116</v>
      </c>
    </row>
    <row r="118" spans="1:14" ht="15.75" x14ac:dyDescent="0.2">
      <c r="A118" s="21" t="s">
        <v>392</v>
      </c>
      <c r="B118" s="232"/>
      <c r="C118" s="232"/>
      <c r="D118" s="166"/>
      <c r="E118" s="27"/>
      <c r="F118" s="232"/>
      <c r="G118" s="232"/>
      <c r="H118" s="166"/>
      <c r="I118" s="27"/>
      <c r="J118" s="285"/>
      <c r="K118" s="44"/>
      <c r="L118" s="252"/>
      <c r="M118" s="27"/>
    </row>
    <row r="119" spans="1:14" ht="15.75" x14ac:dyDescent="0.2">
      <c r="A119" s="13" t="s">
        <v>373</v>
      </c>
      <c r="B119" s="306">
        <v>10641</v>
      </c>
      <c r="C119" s="159">
        <v>23718.5</v>
      </c>
      <c r="D119" s="171">
        <f t="shared" si="17"/>
        <v>122.9</v>
      </c>
      <c r="E119" s="11">
        <f>IFERROR(100/'Skjema total MA'!C119*C119,0)</f>
        <v>8.4730462201075039</v>
      </c>
      <c r="F119" s="306">
        <v>741538</v>
      </c>
      <c r="G119" s="159">
        <v>1521022.8</v>
      </c>
      <c r="H119" s="171">
        <f t="shared" si="20"/>
        <v>105.1</v>
      </c>
      <c r="I119" s="11">
        <f>IFERROR(100/'Skjema total MA'!F119*G119,0)</f>
        <v>18.782649875955908</v>
      </c>
      <c r="J119" s="307">
        <f t="shared" si="18"/>
        <v>752179</v>
      </c>
      <c r="K119" s="234">
        <f t="shared" si="18"/>
        <v>1544741.3</v>
      </c>
      <c r="L119" s="371">
        <f t="shared" si="19"/>
        <v>105.4</v>
      </c>
      <c r="M119" s="11">
        <f>IFERROR(100/'Skjema total MA'!I119*K119,0)</f>
        <v>18.438179487784822</v>
      </c>
    </row>
    <row r="120" spans="1:14" x14ac:dyDescent="0.2">
      <c r="A120" s="21" t="s">
        <v>9</v>
      </c>
      <c r="B120" s="232">
        <v>10641</v>
      </c>
      <c r="C120" s="145">
        <v>23718.5</v>
      </c>
      <c r="D120" s="166">
        <f t="shared" si="17"/>
        <v>122.9</v>
      </c>
      <c r="E120" s="27">
        <f>IFERROR(100/'Skjema total MA'!C120*C120,0)</f>
        <v>16.027759511574345</v>
      </c>
      <c r="F120" s="232"/>
      <c r="G120" s="145"/>
      <c r="H120" s="166"/>
      <c r="I120" s="27"/>
      <c r="J120" s="285">
        <f t="shared" si="18"/>
        <v>10641</v>
      </c>
      <c r="K120" s="44">
        <f t="shared" si="18"/>
        <v>23718.5</v>
      </c>
      <c r="L120" s="252">
        <f t="shared" si="19"/>
        <v>122.9</v>
      </c>
      <c r="M120" s="27">
        <f>IFERROR(100/'Skjema total MA'!I120*K120,0)</f>
        <v>16.027759511574345</v>
      </c>
    </row>
    <row r="121" spans="1:14" x14ac:dyDescent="0.2">
      <c r="A121" s="21" t="s">
        <v>10</v>
      </c>
      <c r="B121" s="232"/>
      <c r="C121" s="145"/>
      <c r="D121" s="166"/>
      <c r="E121" s="27"/>
      <c r="F121" s="232">
        <v>741538</v>
      </c>
      <c r="G121" s="145">
        <v>1521022.8</v>
      </c>
      <c r="H121" s="166">
        <f t="shared" si="20"/>
        <v>105.1</v>
      </c>
      <c r="I121" s="27">
        <f>IFERROR(100/'Skjema total MA'!F121*G121,0)</f>
        <v>18.782649875955908</v>
      </c>
      <c r="J121" s="285">
        <f t="shared" si="18"/>
        <v>741538</v>
      </c>
      <c r="K121" s="44">
        <f t="shared" si="18"/>
        <v>1521022.8</v>
      </c>
      <c r="L121" s="252">
        <f t="shared" si="19"/>
        <v>105.1</v>
      </c>
      <c r="M121" s="27">
        <f>IFERROR(100/'Skjema total MA'!I121*K121,0)</f>
        <v>18.732924104442148</v>
      </c>
    </row>
    <row r="122" spans="1:14" x14ac:dyDescent="0.2">
      <c r="A122" s="21" t="s">
        <v>26</v>
      </c>
      <c r="B122" s="232"/>
      <c r="C122" s="145"/>
      <c r="D122" s="166"/>
      <c r="E122" s="27"/>
      <c r="F122" s="232"/>
      <c r="G122" s="145"/>
      <c r="H122" s="166"/>
      <c r="I122" s="27"/>
      <c r="J122" s="285"/>
      <c r="K122" s="44"/>
      <c r="L122" s="252"/>
      <c r="M122" s="27"/>
    </row>
    <row r="123" spans="1:14" x14ac:dyDescent="0.2">
      <c r="A123" s="294" t="s">
        <v>14</v>
      </c>
      <c r="B123" s="279"/>
      <c r="C123" s="279"/>
      <c r="D123" s="166"/>
      <c r="E123" s="363"/>
      <c r="F123" s="279"/>
      <c r="G123" s="279"/>
      <c r="H123" s="166"/>
      <c r="I123" s="363"/>
      <c r="J123" s="288"/>
      <c r="K123" s="288"/>
      <c r="L123" s="166"/>
      <c r="M123" s="23"/>
    </row>
    <row r="124" spans="1:14" ht="15.75" x14ac:dyDescent="0.2">
      <c r="A124" s="21" t="s">
        <v>399</v>
      </c>
      <c r="B124" s="232"/>
      <c r="C124" s="232"/>
      <c r="D124" s="166"/>
      <c r="E124" s="27"/>
      <c r="F124" s="232"/>
      <c r="G124" s="232"/>
      <c r="H124" s="166"/>
      <c r="I124" s="27"/>
      <c r="J124" s="285"/>
      <c r="K124" s="44"/>
      <c r="L124" s="252"/>
      <c r="M124" s="27"/>
    </row>
    <row r="125" spans="1:14" ht="15.75" x14ac:dyDescent="0.2">
      <c r="A125" s="21" t="s">
        <v>391</v>
      </c>
      <c r="B125" s="232"/>
      <c r="C125" s="232"/>
      <c r="D125" s="166"/>
      <c r="E125" s="27"/>
      <c r="F125" s="232">
        <v>143318</v>
      </c>
      <c r="G125" s="232">
        <v>433633.2</v>
      </c>
      <c r="H125" s="166">
        <f t="shared" si="20"/>
        <v>202.6</v>
      </c>
      <c r="I125" s="27">
        <f>IFERROR(100/'Skjema total MA'!F125*G125,0)</f>
        <v>25.666415117780915</v>
      </c>
      <c r="J125" s="285">
        <f t="shared" si="18"/>
        <v>143318</v>
      </c>
      <c r="K125" s="44">
        <f t="shared" si="18"/>
        <v>433633.2</v>
      </c>
      <c r="L125" s="252">
        <f t="shared" si="19"/>
        <v>202.6</v>
      </c>
      <c r="M125" s="27">
        <f>IFERROR(100/'Skjema total MA'!I125*K125,0)</f>
        <v>25.631902175306866</v>
      </c>
    </row>
    <row r="126" spans="1:14" ht="15.75" x14ac:dyDescent="0.2">
      <c r="A126" s="10" t="s">
        <v>392</v>
      </c>
      <c r="B126" s="45"/>
      <c r="C126" s="45"/>
      <c r="D126" s="167"/>
      <c r="E126" s="364"/>
      <c r="F126" s="45"/>
      <c r="G126" s="45"/>
      <c r="H126" s="167"/>
      <c r="I126" s="22"/>
      <c r="J126" s="286"/>
      <c r="K126" s="45"/>
      <c r="L126" s="253"/>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95"/>
      <c r="C130" s="695"/>
      <c r="D130" s="695"/>
      <c r="E130" s="297"/>
      <c r="F130" s="695"/>
      <c r="G130" s="695"/>
      <c r="H130" s="695"/>
      <c r="I130" s="297"/>
      <c r="J130" s="695"/>
      <c r="K130" s="695"/>
      <c r="L130" s="695"/>
      <c r="M130" s="297"/>
    </row>
    <row r="131" spans="1:14" s="3" customFormat="1" x14ac:dyDescent="0.2">
      <c r="A131" s="144"/>
      <c r="B131" s="696" t="s">
        <v>0</v>
      </c>
      <c r="C131" s="697"/>
      <c r="D131" s="697"/>
      <c r="E131" s="299"/>
      <c r="F131" s="696" t="s">
        <v>1</v>
      </c>
      <c r="G131" s="697"/>
      <c r="H131" s="697"/>
      <c r="I131" s="302"/>
      <c r="J131" s="696" t="s">
        <v>2</v>
      </c>
      <c r="K131" s="697"/>
      <c r="L131" s="697"/>
      <c r="M131" s="302"/>
      <c r="N131" s="148"/>
    </row>
    <row r="132" spans="1:14" s="3" customFormat="1" x14ac:dyDescent="0.2">
      <c r="A132" s="140"/>
      <c r="B132" s="152" t="s">
        <v>422</v>
      </c>
      <c r="C132" s="152" t="s">
        <v>423</v>
      </c>
      <c r="D132" s="243" t="s">
        <v>3</v>
      </c>
      <c r="E132" s="303" t="s">
        <v>29</v>
      </c>
      <c r="F132" s="152" t="s">
        <v>422</v>
      </c>
      <c r="G132" s="152" t="s">
        <v>423</v>
      </c>
      <c r="H132" s="205" t="s">
        <v>3</v>
      </c>
      <c r="I132" s="162" t="s">
        <v>29</v>
      </c>
      <c r="J132" s="152" t="s">
        <v>422</v>
      </c>
      <c r="K132" s="152" t="s">
        <v>423</v>
      </c>
      <c r="L132" s="244" t="s">
        <v>3</v>
      </c>
      <c r="M132" s="162" t="s">
        <v>29</v>
      </c>
      <c r="N132" s="148"/>
    </row>
    <row r="133" spans="1:14" s="3" customFormat="1" x14ac:dyDescent="0.2">
      <c r="A133" s="666"/>
      <c r="B133" s="156"/>
      <c r="C133" s="156"/>
      <c r="D133" s="244" t="s">
        <v>4</v>
      </c>
      <c r="E133" s="156" t="s">
        <v>30</v>
      </c>
      <c r="F133" s="161"/>
      <c r="G133" s="161"/>
      <c r="H133" s="205" t="s">
        <v>4</v>
      </c>
      <c r="I133" s="156" t="s">
        <v>30</v>
      </c>
      <c r="J133" s="156"/>
      <c r="K133" s="156"/>
      <c r="L133" s="150" t="s">
        <v>4</v>
      </c>
      <c r="M133" s="156" t="s">
        <v>30</v>
      </c>
      <c r="N133" s="148"/>
    </row>
    <row r="134" spans="1:14" s="3" customFormat="1" ht="15.75" x14ac:dyDescent="0.2">
      <c r="A134" s="14" t="s">
        <v>395</v>
      </c>
      <c r="B134" s="234"/>
      <c r="C134" s="307"/>
      <c r="D134" s="347"/>
      <c r="E134" s="11"/>
      <c r="F134" s="314"/>
      <c r="G134" s="315"/>
      <c r="H134" s="374"/>
      <c r="I134" s="24"/>
      <c r="J134" s="316"/>
      <c r="K134" s="316"/>
      <c r="L134" s="370"/>
      <c r="M134" s="11"/>
      <c r="N134" s="148"/>
    </row>
    <row r="135" spans="1:14" s="3" customFormat="1" ht="15.75" x14ac:dyDescent="0.2">
      <c r="A135" s="13" t="s">
        <v>400</v>
      </c>
      <c r="B135" s="234"/>
      <c r="C135" s="307"/>
      <c r="D135" s="171"/>
      <c r="E135" s="11"/>
      <c r="F135" s="234"/>
      <c r="G135" s="307"/>
      <c r="H135" s="375"/>
      <c r="I135" s="24"/>
      <c r="J135" s="306"/>
      <c r="K135" s="306"/>
      <c r="L135" s="371"/>
      <c r="M135" s="11"/>
      <c r="N135" s="148"/>
    </row>
    <row r="136" spans="1:14" s="3" customFormat="1" ht="15.75" x14ac:dyDescent="0.2">
      <c r="A136" s="13" t="s">
        <v>397</v>
      </c>
      <c r="B136" s="234"/>
      <c r="C136" s="307"/>
      <c r="D136" s="171"/>
      <c r="E136" s="11"/>
      <c r="F136" s="234"/>
      <c r="G136" s="307"/>
      <c r="H136" s="375"/>
      <c r="I136" s="24"/>
      <c r="J136" s="306"/>
      <c r="K136" s="306"/>
      <c r="L136" s="371"/>
      <c r="M136" s="11"/>
      <c r="N136" s="148"/>
    </row>
    <row r="137" spans="1:14" s="3" customFormat="1" ht="15.75" x14ac:dyDescent="0.2">
      <c r="A137" s="41" t="s">
        <v>398</v>
      </c>
      <c r="B137" s="274"/>
      <c r="C137" s="313"/>
      <c r="D137" s="169"/>
      <c r="E137" s="9"/>
      <c r="F137" s="274"/>
      <c r="G137" s="313"/>
      <c r="H137" s="376"/>
      <c r="I137" s="36"/>
      <c r="J137" s="312"/>
      <c r="K137" s="312"/>
      <c r="L137" s="372"/>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163" priority="132">
      <formula>kvartal &lt; 4</formula>
    </cfRule>
  </conditionalFormatting>
  <conditionalFormatting sqref="B69">
    <cfRule type="expression" dxfId="1162" priority="100">
      <formula>kvartal &lt; 4</formula>
    </cfRule>
  </conditionalFormatting>
  <conditionalFormatting sqref="C69">
    <cfRule type="expression" dxfId="1161" priority="99">
      <formula>kvartal &lt; 4</formula>
    </cfRule>
  </conditionalFormatting>
  <conditionalFormatting sqref="B72">
    <cfRule type="expression" dxfId="1160" priority="98">
      <formula>kvartal &lt; 4</formula>
    </cfRule>
  </conditionalFormatting>
  <conditionalFormatting sqref="C72">
    <cfRule type="expression" dxfId="1159" priority="97">
      <formula>kvartal &lt; 4</formula>
    </cfRule>
  </conditionalFormatting>
  <conditionalFormatting sqref="B80">
    <cfRule type="expression" dxfId="1158" priority="96">
      <formula>kvartal &lt; 4</formula>
    </cfRule>
  </conditionalFormatting>
  <conditionalFormatting sqref="C80">
    <cfRule type="expression" dxfId="1157" priority="95">
      <formula>kvartal &lt; 4</formula>
    </cfRule>
  </conditionalFormatting>
  <conditionalFormatting sqref="B83">
    <cfRule type="expression" dxfId="1156" priority="94">
      <formula>kvartal &lt; 4</formula>
    </cfRule>
  </conditionalFormatting>
  <conditionalFormatting sqref="C83">
    <cfRule type="expression" dxfId="1155" priority="93">
      <formula>kvartal &lt; 4</formula>
    </cfRule>
  </conditionalFormatting>
  <conditionalFormatting sqref="B90">
    <cfRule type="expression" dxfId="1154" priority="84">
      <formula>kvartal &lt; 4</formula>
    </cfRule>
  </conditionalFormatting>
  <conditionalFormatting sqref="C90">
    <cfRule type="expression" dxfId="1153" priority="83">
      <formula>kvartal &lt; 4</formula>
    </cfRule>
  </conditionalFormatting>
  <conditionalFormatting sqref="B93">
    <cfRule type="expression" dxfId="1152" priority="82">
      <formula>kvartal &lt; 4</formula>
    </cfRule>
  </conditionalFormatting>
  <conditionalFormatting sqref="C93">
    <cfRule type="expression" dxfId="1151" priority="81">
      <formula>kvartal &lt; 4</formula>
    </cfRule>
  </conditionalFormatting>
  <conditionalFormatting sqref="B101">
    <cfRule type="expression" dxfId="1150" priority="80">
      <formula>kvartal &lt; 4</formula>
    </cfRule>
  </conditionalFormatting>
  <conditionalFormatting sqref="C101">
    <cfRule type="expression" dxfId="1149" priority="79">
      <formula>kvartal &lt; 4</formula>
    </cfRule>
  </conditionalFormatting>
  <conditionalFormatting sqref="B104">
    <cfRule type="expression" dxfId="1148" priority="78">
      <formula>kvartal &lt; 4</formula>
    </cfRule>
  </conditionalFormatting>
  <conditionalFormatting sqref="C104">
    <cfRule type="expression" dxfId="1147" priority="77">
      <formula>kvartal &lt; 4</formula>
    </cfRule>
  </conditionalFormatting>
  <conditionalFormatting sqref="B115">
    <cfRule type="expression" dxfId="1146" priority="76">
      <formula>kvartal &lt; 4</formula>
    </cfRule>
  </conditionalFormatting>
  <conditionalFormatting sqref="C115">
    <cfRule type="expression" dxfId="1145" priority="75">
      <formula>kvartal &lt; 4</formula>
    </cfRule>
  </conditionalFormatting>
  <conditionalFormatting sqref="B123">
    <cfRule type="expression" dxfId="1144" priority="74">
      <formula>kvartal &lt; 4</formula>
    </cfRule>
  </conditionalFormatting>
  <conditionalFormatting sqref="C123">
    <cfRule type="expression" dxfId="1143" priority="73">
      <formula>kvartal &lt; 4</formula>
    </cfRule>
  </conditionalFormatting>
  <conditionalFormatting sqref="F70">
    <cfRule type="expression" dxfId="1142" priority="72">
      <formula>kvartal &lt; 4</formula>
    </cfRule>
  </conditionalFormatting>
  <conditionalFormatting sqref="G70">
    <cfRule type="expression" dxfId="1141" priority="71">
      <formula>kvartal &lt; 4</formula>
    </cfRule>
  </conditionalFormatting>
  <conditionalFormatting sqref="F71:G71">
    <cfRule type="expression" dxfId="1140" priority="70">
      <formula>kvartal &lt; 4</formula>
    </cfRule>
  </conditionalFormatting>
  <conditionalFormatting sqref="F73:G74">
    <cfRule type="expression" dxfId="1139" priority="69">
      <formula>kvartal &lt; 4</formula>
    </cfRule>
  </conditionalFormatting>
  <conditionalFormatting sqref="F81:G82">
    <cfRule type="expression" dxfId="1138" priority="68">
      <formula>kvartal &lt; 4</formula>
    </cfRule>
  </conditionalFormatting>
  <conditionalFormatting sqref="F84:G85">
    <cfRule type="expression" dxfId="1137" priority="67">
      <formula>kvartal &lt; 4</formula>
    </cfRule>
  </conditionalFormatting>
  <conditionalFormatting sqref="F91:G92">
    <cfRule type="expression" dxfId="1136" priority="62">
      <formula>kvartal &lt; 4</formula>
    </cfRule>
  </conditionalFormatting>
  <conditionalFormatting sqref="F94:G95">
    <cfRule type="expression" dxfId="1135" priority="61">
      <formula>kvartal &lt; 4</formula>
    </cfRule>
  </conditionalFormatting>
  <conditionalFormatting sqref="F102:G103">
    <cfRule type="expression" dxfId="1134" priority="60">
      <formula>kvartal &lt; 4</formula>
    </cfRule>
  </conditionalFormatting>
  <conditionalFormatting sqref="F105:G106">
    <cfRule type="expression" dxfId="1133" priority="59">
      <formula>kvartal &lt; 4</formula>
    </cfRule>
  </conditionalFormatting>
  <conditionalFormatting sqref="F115">
    <cfRule type="expression" dxfId="1132" priority="58">
      <formula>kvartal &lt; 4</formula>
    </cfRule>
  </conditionalFormatting>
  <conditionalFormatting sqref="G115">
    <cfRule type="expression" dxfId="1131" priority="57">
      <formula>kvartal &lt; 4</formula>
    </cfRule>
  </conditionalFormatting>
  <conditionalFormatting sqref="F123:G123">
    <cfRule type="expression" dxfId="1130" priority="56">
      <formula>kvartal &lt; 4</formula>
    </cfRule>
  </conditionalFormatting>
  <conditionalFormatting sqref="F69:G69">
    <cfRule type="expression" dxfId="1129" priority="55">
      <formula>kvartal &lt; 4</formula>
    </cfRule>
  </conditionalFormatting>
  <conditionalFormatting sqref="F72:G72">
    <cfRule type="expression" dxfId="1128" priority="54">
      <formula>kvartal &lt; 4</formula>
    </cfRule>
  </conditionalFormatting>
  <conditionalFormatting sqref="F80:G80">
    <cfRule type="expression" dxfId="1127" priority="53">
      <formula>kvartal &lt; 4</formula>
    </cfRule>
  </conditionalFormatting>
  <conditionalFormatting sqref="F83:G83">
    <cfRule type="expression" dxfId="1126" priority="52">
      <formula>kvartal &lt; 4</formula>
    </cfRule>
  </conditionalFormatting>
  <conditionalFormatting sqref="F90:G90">
    <cfRule type="expression" dxfId="1125" priority="46">
      <formula>kvartal &lt; 4</formula>
    </cfRule>
  </conditionalFormatting>
  <conditionalFormatting sqref="F93">
    <cfRule type="expression" dxfId="1124" priority="45">
      <formula>kvartal &lt; 4</formula>
    </cfRule>
  </conditionalFormatting>
  <conditionalFormatting sqref="G93">
    <cfRule type="expression" dxfId="1123" priority="44">
      <formula>kvartal &lt; 4</formula>
    </cfRule>
  </conditionalFormatting>
  <conditionalFormatting sqref="F101">
    <cfRule type="expression" dxfId="1122" priority="43">
      <formula>kvartal &lt; 4</formula>
    </cfRule>
  </conditionalFormatting>
  <conditionalFormatting sqref="G101">
    <cfRule type="expression" dxfId="1121" priority="42">
      <formula>kvartal &lt; 4</formula>
    </cfRule>
  </conditionalFormatting>
  <conditionalFormatting sqref="G104">
    <cfRule type="expression" dxfId="1120" priority="41">
      <formula>kvartal &lt; 4</formula>
    </cfRule>
  </conditionalFormatting>
  <conditionalFormatting sqref="F104">
    <cfRule type="expression" dxfId="1119" priority="40">
      <formula>kvartal &lt; 4</formula>
    </cfRule>
  </conditionalFormatting>
  <conditionalFormatting sqref="J69:K73">
    <cfRule type="expression" dxfId="1118" priority="39">
      <formula>kvartal &lt; 4</formula>
    </cfRule>
  </conditionalFormatting>
  <conditionalFormatting sqref="J74:K74">
    <cfRule type="expression" dxfId="1117" priority="38">
      <formula>kvartal &lt; 4</formula>
    </cfRule>
  </conditionalFormatting>
  <conditionalFormatting sqref="J80:K85">
    <cfRule type="expression" dxfId="1116" priority="37">
      <formula>kvartal &lt; 4</formula>
    </cfRule>
  </conditionalFormatting>
  <conditionalFormatting sqref="J90:K95">
    <cfRule type="expression" dxfId="1115" priority="34">
      <formula>kvartal &lt; 4</formula>
    </cfRule>
  </conditionalFormatting>
  <conditionalFormatting sqref="J101:K106">
    <cfRule type="expression" dxfId="1114" priority="33">
      <formula>kvartal &lt; 4</formula>
    </cfRule>
  </conditionalFormatting>
  <conditionalFormatting sqref="J115:K115">
    <cfRule type="expression" dxfId="1113" priority="32">
      <formula>kvartal &lt; 4</formula>
    </cfRule>
  </conditionalFormatting>
  <conditionalFormatting sqref="J123:K123">
    <cfRule type="expression" dxfId="1112" priority="31">
      <formula>kvartal &lt; 4</formula>
    </cfRule>
  </conditionalFormatting>
  <conditionalFormatting sqref="A50:A52">
    <cfRule type="expression" dxfId="1111" priority="12">
      <formula>kvartal &lt; 4</formula>
    </cfRule>
  </conditionalFormatting>
  <conditionalFormatting sqref="A69:A74">
    <cfRule type="expression" dxfId="1110" priority="10">
      <formula>kvartal &lt; 4</formula>
    </cfRule>
  </conditionalFormatting>
  <conditionalFormatting sqref="A80:A85">
    <cfRule type="expression" dxfId="1109" priority="9">
      <formula>kvartal &lt; 4</formula>
    </cfRule>
  </conditionalFormatting>
  <conditionalFormatting sqref="A90:A95">
    <cfRule type="expression" dxfId="1108" priority="6">
      <formula>kvartal &lt; 4</formula>
    </cfRule>
  </conditionalFormatting>
  <conditionalFormatting sqref="A101:A106">
    <cfRule type="expression" dxfId="1107" priority="5">
      <formula>kvartal &lt; 4</formula>
    </cfRule>
  </conditionalFormatting>
  <conditionalFormatting sqref="A115">
    <cfRule type="expression" dxfId="1106" priority="4">
      <formula>kvartal &lt; 4</formula>
    </cfRule>
  </conditionalFormatting>
  <conditionalFormatting sqref="A123">
    <cfRule type="expression" dxfId="1105" priority="3">
      <formula>kvartal &lt; 4</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64"/>
      <c r="C1" s="246" t="s">
        <v>93</v>
      </c>
      <c r="D1" s="26"/>
      <c r="E1" s="26"/>
      <c r="F1" s="26"/>
      <c r="G1" s="26"/>
      <c r="H1" s="26"/>
      <c r="I1" s="26"/>
      <c r="J1" s="26"/>
      <c r="K1" s="26"/>
      <c r="L1" s="26"/>
      <c r="M1" s="26"/>
    </row>
    <row r="2" spans="1:14" ht="15.75" x14ac:dyDescent="0.25">
      <c r="A2" s="165" t="s">
        <v>28</v>
      </c>
      <c r="B2" s="700"/>
      <c r="C2" s="700"/>
      <c r="D2" s="700"/>
      <c r="E2" s="297"/>
      <c r="F2" s="700"/>
      <c r="G2" s="700"/>
      <c r="H2" s="700"/>
      <c r="I2" s="297"/>
      <c r="J2" s="700"/>
      <c r="K2" s="700"/>
      <c r="L2" s="700"/>
      <c r="M2" s="297"/>
    </row>
    <row r="3" spans="1:14" ht="15.75" x14ac:dyDescent="0.25">
      <c r="A3" s="163"/>
      <c r="B3" s="297"/>
      <c r="C3" s="297"/>
      <c r="D3" s="297"/>
      <c r="E3" s="297"/>
      <c r="F3" s="297"/>
      <c r="G3" s="297"/>
      <c r="H3" s="297"/>
      <c r="I3" s="297"/>
      <c r="J3" s="297"/>
      <c r="K3" s="297"/>
      <c r="L3" s="297"/>
      <c r="M3" s="297"/>
    </row>
    <row r="4" spans="1:14" x14ac:dyDescent="0.2">
      <c r="A4" s="144"/>
      <c r="B4" s="696" t="s">
        <v>0</v>
      </c>
      <c r="C4" s="697"/>
      <c r="D4" s="697"/>
      <c r="E4" s="299"/>
      <c r="F4" s="696" t="s">
        <v>1</v>
      </c>
      <c r="G4" s="697"/>
      <c r="H4" s="697"/>
      <c r="I4" s="302"/>
      <c r="J4" s="696" t="s">
        <v>2</v>
      </c>
      <c r="K4" s="697"/>
      <c r="L4" s="697"/>
      <c r="M4" s="302"/>
    </row>
    <row r="5" spans="1:14" x14ac:dyDescent="0.2">
      <c r="A5" s="158"/>
      <c r="B5" s="152" t="s">
        <v>422</v>
      </c>
      <c r="C5" s="152" t="s">
        <v>423</v>
      </c>
      <c r="D5" s="243" t="s">
        <v>3</v>
      </c>
      <c r="E5" s="303" t="s">
        <v>29</v>
      </c>
      <c r="F5" s="152" t="s">
        <v>422</v>
      </c>
      <c r="G5" s="152" t="s">
        <v>423</v>
      </c>
      <c r="H5" s="243" t="s">
        <v>3</v>
      </c>
      <c r="I5" s="162" t="s">
        <v>29</v>
      </c>
      <c r="J5" s="152" t="s">
        <v>422</v>
      </c>
      <c r="K5" s="152" t="s">
        <v>423</v>
      </c>
      <c r="L5" s="243" t="s">
        <v>3</v>
      </c>
      <c r="M5" s="162" t="s">
        <v>29</v>
      </c>
    </row>
    <row r="6" spans="1:14" x14ac:dyDescent="0.2">
      <c r="A6" s="665"/>
      <c r="B6" s="156"/>
      <c r="C6" s="156"/>
      <c r="D6" s="244" t="s">
        <v>4</v>
      </c>
      <c r="E6" s="156" t="s">
        <v>30</v>
      </c>
      <c r="F6" s="161"/>
      <c r="G6" s="161"/>
      <c r="H6" s="243" t="s">
        <v>4</v>
      </c>
      <c r="I6" s="156" t="s">
        <v>30</v>
      </c>
      <c r="J6" s="161"/>
      <c r="K6" s="161"/>
      <c r="L6" s="243" t="s">
        <v>4</v>
      </c>
      <c r="M6" s="156" t="s">
        <v>30</v>
      </c>
    </row>
    <row r="7" spans="1:14" ht="15.75" x14ac:dyDescent="0.2">
      <c r="A7" s="14" t="s">
        <v>23</v>
      </c>
      <c r="B7" s="304">
        <v>19028</v>
      </c>
      <c r="C7" s="305">
        <v>18018.488499999999</v>
      </c>
      <c r="D7" s="347">
        <f>IF(B7=0, "    ---- ", IF(ABS(ROUND(100/B7*C7-100,1))&lt;999,ROUND(100/B7*C7-100,1),IF(ROUND(100/B7*C7-100,1)&gt;999,999,-999)))</f>
        <v>-5.3</v>
      </c>
      <c r="E7" s="11">
        <f>IFERROR(100/'Skjema total MA'!C7*C7,0)</f>
        <v>0.67850814324311437</v>
      </c>
      <c r="F7" s="304"/>
      <c r="G7" s="305"/>
      <c r="H7" s="347"/>
      <c r="I7" s="160"/>
      <c r="J7" s="306">
        <f t="shared" ref="J7:K10" si="0">SUM(B7,F7)</f>
        <v>19028</v>
      </c>
      <c r="K7" s="307">
        <f t="shared" si="0"/>
        <v>18018.488499999999</v>
      </c>
      <c r="L7" s="370">
        <f>IF(J7=0, "    ---- ", IF(ABS(ROUND(100/J7*K7-100,1))&lt;999,ROUND(100/J7*K7-100,1),IF(ROUND(100/J7*K7-100,1)&gt;999,999,-999)))</f>
        <v>-5.3</v>
      </c>
      <c r="M7" s="11">
        <f>IFERROR(100/'Skjema total MA'!I7*K7,0)</f>
        <v>0.23452735012563836</v>
      </c>
    </row>
    <row r="8" spans="1:14" ht="15.75" x14ac:dyDescent="0.2">
      <c r="A8" s="21" t="s">
        <v>25</v>
      </c>
      <c r="B8" s="279">
        <v>11588</v>
      </c>
      <c r="C8" s="280">
        <v>11041.882941</v>
      </c>
      <c r="D8" s="166">
        <f t="shared" ref="D8:D10" si="1">IF(B8=0, "    ---- ", IF(ABS(ROUND(100/B8*C8-100,1))&lt;999,ROUND(100/B8*C8-100,1),IF(ROUND(100/B8*C8-100,1)&gt;999,999,-999)))</f>
        <v>-4.7</v>
      </c>
      <c r="E8" s="27">
        <f>IFERROR(100/'Skjema total MA'!C8*C8,0)</f>
        <v>0.6913531564626223</v>
      </c>
      <c r="F8" s="283"/>
      <c r="G8" s="284"/>
      <c r="H8" s="166"/>
      <c r="I8" s="175"/>
      <c r="J8" s="232">
        <f t="shared" si="0"/>
        <v>11588</v>
      </c>
      <c r="K8" s="285">
        <f t="shared" si="0"/>
        <v>11041.882941</v>
      </c>
      <c r="L8" s="166">
        <f t="shared" ref="L8:L9" si="2">IF(J8=0, "    ---- ", IF(ABS(ROUND(100/J8*K8-100,1))&lt;999,ROUND(100/J8*K8-100,1),IF(ROUND(100/J8*K8-100,1)&gt;999,999,-999)))</f>
        <v>-4.7</v>
      </c>
      <c r="M8" s="27">
        <f>IFERROR(100/'Skjema total MA'!I8*K8,0)</f>
        <v>0.6913531564626223</v>
      </c>
    </row>
    <row r="9" spans="1:14" ht="15.75" x14ac:dyDescent="0.2">
      <c r="A9" s="21" t="s">
        <v>24</v>
      </c>
      <c r="B9" s="279">
        <v>7057</v>
      </c>
      <c r="C9" s="280">
        <v>6625.412797</v>
      </c>
      <c r="D9" s="166">
        <f t="shared" si="1"/>
        <v>-6.1</v>
      </c>
      <c r="E9" s="27">
        <f>IFERROR(100/'Skjema total MA'!C9*C9,0)</f>
        <v>1.1378784842515368</v>
      </c>
      <c r="F9" s="283"/>
      <c r="G9" s="284"/>
      <c r="H9" s="166"/>
      <c r="I9" s="175"/>
      <c r="J9" s="232">
        <f t="shared" si="0"/>
        <v>7057</v>
      </c>
      <c r="K9" s="285">
        <f t="shared" si="0"/>
        <v>6625.412797</v>
      </c>
      <c r="L9" s="166">
        <f t="shared" si="2"/>
        <v>-6.1</v>
      </c>
      <c r="M9" s="27">
        <f>IFERROR(100/'Skjema total MA'!I9*K9,0)</f>
        <v>1.1378784842515368</v>
      </c>
    </row>
    <row r="10" spans="1:14" ht="15.75" x14ac:dyDescent="0.2">
      <c r="A10" s="13" t="s">
        <v>371</v>
      </c>
      <c r="B10" s="308">
        <v>20061</v>
      </c>
      <c r="C10" s="309">
        <v>14938.992056867601</v>
      </c>
      <c r="D10" s="171">
        <f t="shared" si="1"/>
        <v>-25.5</v>
      </c>
      <c r="E10" s="11">
        <f>IFERROR(100/'Skjema total MA'!C10*C10,0)</f>
        <v>7.5850523549014087E-2</v>
      </c>
      <c r="F10" s="308"/>
      <c r="G10" s="309"/>
      <c r="H10" s="171"/>
      <c r="I10" s="160"/>
      <c r="J10" s="306">
        <f t="shared" si="0"/>
        <v>20061</v>
      </c>
      <c r="K10" s="307">
        <f t="shared" si="0"/>
        <v>14938.992056867601</v>
      </c>
      <c r="L10" s="371">
        <f t="shared" ref="L10" si="3">IF(J10=0, "    ---- ", IF(ABS(ROUND(100/J10*K10-100,1))&lt;999,ROUND(100/J10*K10-100,1),IF(ROUND(100/J10*K10-100,1)&gt;999,999,-999)))</f>
        <v>-25.5</v>
      </c>
      <c r="M10" s="11">
        <f>IFERROR(100/'Skjema total MA'!I10*K10,0)</f>
        <v>2.2600879465939555E-2</v>
      </c>
    </row>
    <row r="11" spans="1:14" s="43" customFormat="1" ht="15.75" x14ac:dyDescent="0.2">
      <c r="A11" s="13" t="s">
        <v>372</v>
      </c>
      <c r="B11" s="308"/>
      <c r="C11" s="309"/>
      <c r="D11" s="171"/>
      <c r="E11" s="11"/>
      <c r="F11" s="308"/>
      <c r="G11" s="309"/>
      <c r="H11" s="171"/>
      <c r="I11" s="160"/>
      <c r="J11" s="306"/>
      <c r="K11" s="307"/>
      <c r="L11" s="371"/>
      <c r="M11" s="11"/>
      <c r="N11" s="143"/>
    </row>
    <row r="12" spans="1:14" s="43" customFormat="1" ht="15.75" x14ac:dyDescent="0.2">
      <c r="A12" s="41" t="s">
        <v>373</v>
      </c>
      <c r="B12" s="310"/>
      <c r="C12" s="311"/>
      <c r="D12" s="169"/>
      <c r="E12" s="36"/>
      <c r="F12" s="310"/>
      <c r="G12" s="311"/>
      <c r="H12" s="169"/>
      <c r="I12" s="169"/>
      <c r="J12" s="312"/>
      <c r="K12" s="313"/>
      <c r="L12" s="372"/>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95"/>
      <c r="C18" s="695"/>
      <c r="D18" s="695"/>
      <c r="E18" s="297"/>
      <c r="F18" s="695"/>
      <c r="G18" s="695"/>
      <c r="H18" s="695"/>
      <c r="I18" s="297"/>
      <c r="J18" s="695"/>
      <c r="K18" s="695"/>
      <c r="L18" s="695"/>
      <c r="M18" s="297"/>
    </row>
    <row r="19" spans="1:14" x14ac:dyDescent="0.2">
      <c r="A19" s="144"/>
      <c r="B19" s="696" t="s">
        <v>0</v>
      </c>
      <c r="C19" s="697"/>
      <c r="D19" s="697"/>
      <c r="E19" s="299"/>
      <c r="F19" s="696" t="s">
        <v>1</v>
      </c>
      <c r="G19" s="697"/>
      <c r="H19" s="697"/>
      <c r="I19" s="302"/>
      <c r="J19" s="696" t="s">
        <v>2</v>
      </c>
      <c r="K19" s="697"/>
      <c r="L19" s="697"/>
      <c r="M19" s="302"/>
    </row>
    <row r="20" spans="1:14" x14ac:dyDescent="0.2">
      <c r="A20" s="140" t="s">
        <v>5</v>
      </c>
      <c r="B20" s="152" t="s">
        <v>422</v>
      </c>
      <c r="C20" s="152" t="s">
        <v>423</v>
      </c>
      <c r="D20" s="162" t="s">
        <v>3</v>
      </c>
      <c r="E20" s="303" t="s">
        <v>29</v>
      </c>
      <c r="F20" s="152" t="s">
        <v>422</v>
      </c>
      <c r="G20" s="152" t="s">
        <v>423</v>
      </c>
      <c r="H20" s="162" t="s">
        <v>3</v>
      </c>
      <c r="I20" s="162" t="s">
        <v>29</v>
      </c>
      <c r="J20" s="152" t="s">
        <v>422</v>
      </c>
      <c r="K20" s="152" t="s">
        <v>423</v>
      </c>
      <c r="L20" s="162" t="s">
        <v>3</v>
      </c>
      <c r="M20" s="162" t="s">
        <v>29</v>
      </c>
    </row>
    <row r="21" spans="1:14" x14ac:dyDescent="0.2">
      <c r="A21" s="666"/>
      <c r="B21" s="156"/>
      <c r="C21" s="156"/>
      <c r="D21" s="244" t="s">
        <v>4</v>
      </c>
      <c r="E21" s="156" t="s">
        <v>30</v>
      </c>
      <c r="F21" s="161"/>
      <c r="G21" s="161"/>
      <c r="H21" s="243" t="s">
        <v>4</v>
      </c>
      <c r="I21" s="156" t="s">
        <v>30</v>
      </c>
      <c r="J21" s="161"/>
      <c r="K21" s="161"/>
      <c r="L21" s="156" t="s">
        <v>4</v>
      </c>
      <c r="M21" s="156" t="s">
        <v>30</v>
      </c>
    </row>
    <row r="22" spans="1:14" ht="15.75" x14ac:dyDescent="0.2">
      <c r="A22" s="14" t="s">
        <v>23</v>
      </c>
      <c r="B22" s="308">
        <v>94</v>
      </c>
      <c r="C22" s="308">
        <v>83.511499999999998</v>
      </c>
      <c r="D22" s="347">
        <f t="shared" ref="D22:D31" si="4">IF(B22=0, "    ---- ", IF(ABS(ROUND(100/B22*C22-100,1))&lt;999,ROUND(100/B22*C22-100,1),IF(ROUND(100/B22*C22-100,1)&gt;999,999,-999)))</f>
        <v>-11.2</v>
      </c>
      <c r="E22" s="11">
        <f>IFERROR(100/'Skjema total MA'!C22*C22,0)</f>
        <v>8.0758670449975391E-3</v>
      </c>
      <c r="F22" s="316"/>
      <c r="G22" s="316"/>
      <c r="H22" s="347"/>
      <c r="I22" s="11"/>
      <c r="J22" s="314">
        <f t="shared" ref="J22:K29" si="5">SUM(B22,F22)</f>
        <v>94</v>
      </c>
      <c r="K22" s="314">
        <f t="shared" si="5"/>
        <v>83.511499999999998</v>
      </c>
      <c r="L22" s="370">
        <f t="shared" ref="L22:L31" si="6">IF(J22=0, "    ---- ", IF(ABS(ROUND(100/J22*K22-100,1))&lt;999,ROUND(100/J22*K22-100,1),IF(ROUND(100/J22*K22-100,1)&gt;999,999,-999)))</f>
        <v>-11.2</v>
      </c>
      <c r="M22" s="24">
        <f>IFERROR(100/'Skjema total MA'!I22*K22,0)</f>
        <v>5.2600960987690118E-3</v>
      </c>
    </row>
    <row r="23" spans="1:14" ht="15.75" x14ac:dyDescent="0.2">
      <c r="A23" s="551" t="s">
        <v>374</v>
      </c>
      <c r="B23" s="279"/>
      <c r="C23" s="279"/>
      <c r="D23" s="166"/>
      <c r="E23" s="11"/>
      <c r="F23" s="288"/>
      <c r="G23" s="288"/>
      <c r="H23" s="166"/>
      <c r="I23" s="363"/>
      <c r="J23" s="288"/>
      <c r="K23" s="288"/>
      <c r="L23" s="166"/>
      <c r="M23" s="23"/>
    </row>
    <row r="24" spans="1:14" ht="15.75" x14ac:dyDescent="0.2">
      <c r="A24" s="551" t="s">
        <v>375</v>
      </c>
      <c r="B24" s="279">
        <v>94</v>
      </c>
      <c r="C24" s="279">
        <v>83.511499999999998</v>
      </c>
      <c r="D24" s="252">
        <f t="shared" ref="D24" si="7">IF(B24=0, "    ---- ", IF(ABS(ROUND(100/B24*C24-100,1))&lt;999,ROUND(100/B24*C24-100,1),IF(ROUND(100/B24*C24-100,1)&gt;999,999,-999)))</f>
        <v>-11.2</v>
      </c>
      <c r="E24" s="11">
        <f>IFERROR(100/'Skjema total MA'!C24*C24,0)</f>
        <v>0.4273948882468267</v>
      </c>
      <c r="F24" s="288"/>
      <c r="G24" s="288"/>
      <c r="H24" s="166"/>
      <c r="I24" s="363"/>
      <c r="J24" s="288">
        <f t="shared" ref="J24" si="8">SUM(B24,F24)</f>
        <v>94</v>
      </c>
      <c r="K24" s="288">
        <f t="shared" ref="K24" si="9">SUM(C24,G24)</f>
        <v>83.511499999999998</v>
      </c>
      <c r="L24" s="252">
        <f t="shared" si="6"/>
        <v>-11.2</v>
      </c>
      <c r="M24" s="23">
        <f>IFERROR(100/'Skjema total MA'!I24*K24,0)</f>
        <v>0.40683587324456411</v>
      </c>
    </row>
    <row r="25" spans="1:14" ht="15.75" x14ac:dyDescent="0.2">
      <c r="A25" s="551" t="s">
        <v>376</v>
      </c>
      <c r="B25" s="279"/>
      <c r="C25" s="279"/>
      <c r="D25" s="166"/>
      <c r="E25" s="11"/>
      <c r="F25" s="288"/>
      <c r="G25" s="288"/>
      <c r="H25" s="166"/>
      <c r="I25" s="363"/>
      <c r="J25" s="288"/>
      <c r="K25" s="288"/>
      <c r="L25" s="166"/>
      <c r="M25" s="23"/>
    </row>
    <row r="26" spans="1:14" ht="15.75" x14ac:dyDescent="0.2">
      <c r="A26" s="551" t="s">
        <v>377</v>
      </c>
      <c r="B26" s="279"/>
      <c r="C26" s="279"/>
      <c r="D26" s="166"/>
      <c r="E26" s="11"/>
      <c r="F26" s="288"/>
      <c r="G26" s="288"/>
      <c r="H26" s="166"/>
      <c r="I26" s="363"/>
      <c r="J26" s="288"/>
      <c r="K26" s="288"/>
      <c r="L26" s="166"/>
      <c r="M26" s="23"/>
    </row>
    <row r="27" spans="1:14" x14ac:dyDescent="0.2">
      <c r="A27" s="551" t="s">
        <v>11</v>
      </c>
      <c r="B27" s="279"/>
      <c r="C27" s="279"/>
      <c r="D27" s="166"/>
      <c r="E27" s="11"/>
      <c r="F27" s="288"/>
      <c r="G27" s="288"/>
      <c r="H27" s="166"/>
      <c r="I27" s="363"/>
      <c r="J27" s="288"/>
      <c r="K27" s="288"/>
      <c r="L27" s="166"/>
      <c r="M27" s="23"/>
    </row>
    <row r="28" spans="1:14" ht="15.75" x14ac:dyDescent="0.2">
      <c r="A28" s="49" t="s">
        <v>282</v>
      </c>
      <c r="B28" s="44">
        <v>94</v>
      </c>
      <c r="C28" s="285">
        <v>83.511499999999998</v>
      </c>
      <c r="D28" s="166">
        <f t="shared" si="4"/>
        <v>-11.2</v>
      </c>
      <c r="E28" s="11">
        <f>IFERROR(100/'Skjema total MA'!C28*C28,0)</f>
        <v>7.9821352489814913E-3</v>
      </c>
      <c r="F28" s="232"/>
      <c r="G28" s="285"/>
      <c r="H28" s="166"/>
      <c r="I28" s="27"/>
      <c r="J28" s="44">
        <f t="shared" si="5"/>
        <v>94</v>
      </c>
      <c r="K28" s="44">
        <f t="shared" si="5"/>
        <v>83.511499999999998</v>
      </c>
      <c r="L28" s="252">
        <f t="shared" si="6"/>
        <v>-11.2</v>
      </c>
      <c r="M28" s="23">
        <f>IFERROR(100/'Skjema total MA'!I28*K28,0)</f>
        <v>7.9821352489814913E-3</v>
      </c>
    </row>
    <row r="29" spans="1:14" s="3" customFormat="1" ht="15.75" x14ac:dyDescent="0.2">
      <c r="A29" s="13" t="s">
        <v>371</v>
      </c>
      <c r="B29" s="234">
        <v>2025</v>
      </c>
      <c r="C29" s="234">
        <v>2020.65397512308</v>
      </c>
      <c r="D29" s="171">
        <f t="shared" si="4"/>
        <v>-0.2</v>
      </c>
      <c r="E29" s="11">
        <f>IFERROR(100/'Skjema total MA'!C29*C29,0)</f>
        <v>4.2578875515677734E-3</v>
      </c>
      <c r="F29" s="306"/>
      <c r="G29" s="306"/>
      <c r="H29" s="171"/>
      <c r="I29" s="11"/>
      <c r="J29" s="234">
        <f t="shared" si="5"/>
        <v>2025</v>
      </c>
      <c r="K29" s="234">
        <f t="shared" si="5"/>
        <v>2020.65397512308</v>
      </c>
      <c r="L29" s="371">
        <f t="shared" si="6"/>
        <v>-0.2</v>
      </c>
      <c r="M29" s="24">
        <f>IFERROR(100/'Skjema total MA'!I29*K29,0)</f>
        <v>2.9764254962670327E-3</v>
      </c>
      <c r="N29" s="148"/>
    </row>
    <row r="30" spans="1:14" s="3" customFormat="1" ht="15.75" x14ac:dyDescent="0.2">
      <c r="A30" s="551" t="s">
        <v>374</v>
      </c>
      <c r="B30" s="279"/>
      <c r="C30" s="279"/>
      <c r="D30" s="166"/>
      <c r="E30" s="11"/>
      <c r="F30" s="288"/>
      <c r="G30" s="288"/>
      <c r="H30" s="166"/>
      <c r="I30" s="363"/>
      <c r="J30" s="288"/>
      <c r="K30" s="288"/>
      <c r="L30" s="166"/>
      <c r="M30" s="23"/>
      <c r="N30" s="148"/>
    </row>
    <row r="31" spans="1:14" s="3" customFormat="1" ht="15.75" x14ac:dyDescent="0.2">
      <c r="A31" s="551" t="s">
        <v>375</v>
      </c>
      <c r="B31" s="279">
        <v>2025</v>
      </c>
      <c r="C31" s="279">
        <v>2020.65397512308</v>
      </c>
      <c r="D31" s="166">
        <f t="shared" si="4"/>
        <v>-0.2</v>
      </c>
      <c r="E31" s="11">
        <f>IFERROR(100/'Skjema total MA'!C31*C31,0)</f>
        <v>6.0065107868893233E-3</v>
      </c>
      <c r="F31" s="288"/>
      <c r="G31" s="288"/>
      <c r="H31" s="166"/>
      <c r="I31" s="363"/>
      <c r="J31" s="288">
        <f t="shared" ref="J31" si="10">SUM(B31,F31)</f>
        <v>2025</v>
      </c>
      <c r="K31" s="288">
        <f t="shared" ref="K31" si="11">SUM(C31,G31)</f>
        <v>2020.65397512308</v>
      </c>
      <c r="L31" s="252">
        <f t="shared" si="6"/>
        <v>-0.2</v>
      </c>
      <c r="M31" s="23">
        <f>IFERROR(100/'Skjema total MA'!I31*K31,0)</f>
        <v>4.7010934841608112E-3</v>
      </c>
      <c r="N31" s="148"/>
    </row>
    <row r="32" spans="1:14" ht="15.75" x14ac:dyDescent="0.2">
      <c r="A32" s="551" t="s">
        <v>376</v>
      </c>
      <c r="B32" s="279"/>
      <c r="C32" s="279"/>
      <c r="D32" s="166"/>
      <c r="E32" s="11"/>
      <c r="F32" s="288"/>
      <c r="G32" s="288"/>
      <c r="H32" s="166"/>
      <c r="I32" s="363"/>
      <c r="J32" s="288"/>
      <c r="K32" s="288"/>
      <c r="L32" s="166"/>
      <c r="M32" s="23"/>
    </row>
    <row r="33" spans="1:14" ht="15.75" x14ac:dyDescent="0.2">
      <c r="A33" s="551" t="s">
        <v>377</v>
      </c>
      <c r="B33" s="279"/>
      <c r="C33" s="279"/>
      <c r="D33" s="166"/>
      <c r="E33" s="11"/>
      <c r="F33" s="288"/>
      <c r="G33" s="288"/>
      <c r="H33" s="166"/>
      <c r="I33" s="363"/>
      <c r="J33" s="288"/>
      <c r="K33" s="288"/>
      <c r="L33" s="166"/>
      <c r="M33" s="23"/>
    </row>
    <row r="34" spans="1:14" ht="15.75" x14ac:dyDescent="0.2">
      <c r="A34" s="13" t="s">
        <v>372</v>
      </c>
      <c r="B34" s="234"/>
      <c r="C34" s="307"/>
      <c r="D34" s="171"/>
      <c r="E34" s="11"/>
      <c r="F34" s="306"/>
      <c r="G34" s="307"/>
      <c r="H34" s="171"/>
      <c r="I34" s="11"/>
      <c r="J34" s="234"/>
      <c r="K34" s="234"/>
      <c r="L34" s="371"/>
      <c r="M34" s="24"/>
    </row>
    <row r="35" spans="1:14" ht="15.75" x14ac:dyDescent="0.2">
      <c r="A35" s="13" t="s">
        <v>373</v>
      </c>
      <c r="B35" s="234"/>
      <c r="C35" s="307"/>
      <c r="D35" s="171"/>
      <c r="E35" s="11"/>
      <c r="F35" s="306"/>
      <c r="G35" s="307"/>
      <c r="H35" s="171"/>
      <c r="I35" s="11"/>
      <c r="J35" s="234"/>
      <c r="K35" s="234"/>
      <c r="L35" s="371"/>
      <c r="M35" s="24"/>
    </row>
    <row r="36" spans="1:14" ht="15.75" x14ac:dyDescent="0.2">
      <c r="A36" s="12" t="s">
        <v>290</v>
      </c>
      <c r="B36" s="234"/>
      <c r="C36" s="307"/>
      <c r="D36" s="171"/>
      <c r="E36" s="11"/>
      <c r="F36" s="317"/>
      <c r="G36" s="318"/>
      <c r="H36" s="171"/>
      <c r="I36" s="377"/>
      <c r="J36" s="234"/>
      <c r="K36" s="234"/>
      <c r="L36" s="371"/>
      <c r="M36" s="24"/>
    </row>
    <row r="37" spans="1:14" ht="15.75" x14ac:dyDescent="0.2">
      <c r="A37" s="12" t="s">
        <v>379</v>
      </c>
      <c r="B37" s="234"/>
      <c r="C37" s="307"/>
      <c r="D37" s="171"/>
      <c r="E37" s="11"/>
      <c r="F37" s="317"/>
      <c r="G37" s="319"/>
      <c r="H37" s="171"/>
      <c r="I37" s="377"/>
      <c r="J37" s="234"/>
      <c r="K37" s="234"/>
      <c r="L37" s="371"/>
      <c r="M37" s="24"/>
    </row>
    <row r="38" spans="1:14" ht="15.75" x14ac:dyDescent="0.2">
      <c r="A38" s="12" t="s">
        <v>380</v>
      </c>
      <c r="B38" s="234"/>
      <c r="C38" s="307"/>
      <c r="D38" s="171"/>
      <c r="E38" s="24"/>
      <c r="F38" s="317"/>
      <c r="G38" s="318"/>
      <c r="H38" s="171"/>
      <c r="I38" s="377"/>
      <c r="J38" s="234"/>
      <c r="K38" s="234"/>
      <c r="L38" s="371"/>
      <c r="M38" s="24"/>
    </row>
    <row r="39" spans="1:14" ht="15.75" x14ac:dyDescent="0.2">
      <c r="A39" s="18" t="s">
        <v>381</v>
      </c>
      <c r="B39" s="274"/>
      <c r="C39" s="313"/>
      <c r="D39" s="169"/>
      <c r="E39" s="36"/>
      <c r="F39" s="320"/>
      <c r="G39" s="321"/>
      <c r="H39" s="169"/>
      <c r="I39" s="36"/>
      <c r="J39" s="234"/>
      <c r="K39" s="234"/>
      <c r="L39" s="372"/>
      <c r="M39" s="36"/>
    </row>
    <row r="40" spans="1:14" ht="15.75" x14ac:dyDescent="0.25">
      <c r="A40" s="47"/>
      <c r="B40" s="251"/>
      <c r="C40" s="251"/>
      <c r="D40" s="699"/>
      <c r="E40" s="699"/>
      <c r="F40" s="699"/>
      <c r="G40" s="699"/>
      <c r="H40" s="699"/>
      <c r="I40" s="699"/>
      <c r="J40" s="699"/>
      <c r="K40" s="699"/>
      <c r="L40" s="699"/>
      <c r="M40" s="300"/>
    </row>
    <row r="41" spans="1:14" x14ac:dyDescent="0.2">
      <c r="A41" s="155"/>
    </row>
    <row r="42" spans="1:14" ht="15.75" x14ac:dyDescent="0.25">
      <c r="A42" s="147" t="s">
        <v>279</v>
      </c>
      <c r="B42" s="700"/>
      <c r="C42" s="700"/>
      <c r="D42" s="700"/>
      <c r="E42" s="297"/>
      <c r="F42" s="701"/>
      <c r="G42" s="701"/>
      <c r="H42" s="701"/>
      <c r="I42" s="300"/>
      <c r="J42" s="701"/>
      <c r="K42" s="701"/>
      <c r="L42" s="701"/>
      <c r="M42" s="300"/>
    </row>
    <row r="43" spans="1:14" ht="15.75" x14ac:dyDescent="0.25">
      <c r="A43" s="163"/>
      <c r="B43" s="301"/>
      <c r="C43" s="301"/>
      <c r="D43" s="301"/>
      <c r="E43" s="301"/>
      <c r="F43" s="300"/>
      <c r="G43" s="300"/>
      <c r="H43" s="300"/>
      <c r="I43" s="300"/>
      <c r="J43" s="300"/>
      <c r="K43" s="300"/>
      <c r="L43" s="300"/>
      <c r="M43" s="300"/>
    </row>
    <row r="44" spans="1:14" ht="15.75" x14ac:dyDescent="0.25">
      <c r="A44" s="245"/>
      <c r="B44" s="696" t="s">
        <v>0</v>
      </c>
      <c r="C44" s="697"/>
      <c r="D44" s="697"/>
      <c r="E44" s="241"/>
      <c r="F44" s="300"/>
      <c r="G44" s="300"/>
      <c r="H44" s="300"/>
      <c r="I44" s="300"/>
      <c r="J44" s="300"/>
      <c r="K44" s="300"/>
      <c r="L44" s="300"/>
      <c r="M44" s="300"/>
    </row>
    <row r="45" spans="1:14" s="3" customFormat="1" x14ac:dyDescent="0.2">
      <c r="A45" s="140"/>
      <c r="B45" s="152" t="s">
        <v>422</v>
      </c>
      <c r="C45" s="152" t="s">
        <v>423</v>
      </c>
      <c r="D45" s="162" t="s">
        <v>3</v>
      </c>
      <c r="E45" s="162" t="s">
        <v>29</v>
      </c>
      <c r="F45" s="174"/>
      <c r="G45" s="174"/>
      <c r="H45" s="173"/>
      <c r="I45" s="173"/>
      <c r="J45" s="174"/>
      <c r="K45" s="174"/>
      <c r="L45" s="173"/>
      <c r="M45" s="173"/>
      <c r="N45" s="148"/>
    </row>
    <row r="46" spans="1:14" s="3" customFormat="1" x14ac:dyDescent="0.2">
      <c r="A46" s="666"/>
      <c r="B46" s="242"/>
      <c r="C46" s="242"/>
      <c r="D46" s="243" t="s">
        <v>4</v>
      </c>
      <c r="E46" s="156" t="s">
        <v>30</v>
      </c>
      <c r="F46" s="173"/>
      <c r="G46" s="173"/>
      <c r="H46" s="173"/>
      <c r="I46" s="173"/>
      <c r="J46" s="173"/>
      <c r="K46" s="173"/>
      <c r="L46" s="173"/>
      <c r="M46" s="173"/>
      <c r="N46" s="148"/>
    </row>
    <row r="47" spans="1:14" s="3" customFormat="1" ht="15.75" x14ac:dyDescent="0.2">
      <c r="A47" s="14" t="s">
        <v>23</v>
      </c>
      <c r="B47" s="308"/>
      <c r="C47" s="309"/>
      <c r="D47" s="370"/>
      <c r="E47" s="11"/>
      <c r="F47" s="145"/>
      <c r="G47" s="33"/>
      <c r="H47" s="159"/>
      <c r="I47" s="159"/>
      <c r="J47" s="37"/>
      <c r="K47" s="37"/>
      <c r="L47" s="159"/>
      <c r="M47" s="159"/>
      <c r="N47" s="148"/>
    </row>
    <row r="48" spans="1:14" s="3" customFormat="1" ht="15.75" x14ac:dyDescent="0.2">
      <c r="A48" s="38" t="s">
        <v>382</v>
      </c>
      <c r="B48" s="279"/>
      <c r="C48" s="280"/>
      <c r="D48" s="252"/>
      <c r="E48" s="27"/>
      <c r="F48" s="145"/>
      <c r="G48" s="33"/>
      <c r="H48" s="145"/>
      <c r="I48" s="145"/>
      <c r="J48" s="33"/>
      <c r="K48" s="33"/>
      <c r="L48" s="159"/>
      <c r="M48" s="159"/>
      <c r="N48" s="148"/>
    </row>
    <row r="49" spans="1:14" s="3" customFormat="1" ht="15.75" x14ac:dyDescent="0.2">
      <c r="A49" s="38" t="s">
        <v>383</v>
      </c>
      <c r="B49" s="44"/>
      <c r="C49" s="285"/>
      <c r="D49" s="252"/>
      <c r="E49" s="27"/>
      <c r="F49" s="145"/>
      <c r="G49" s="33"/>
      <c r="H49" s="145"/>
      <c r="I49" s="145"/>
      <c r="J49" s="37"/>
      <c r="K49" s="37"/>
      <c r="L49" s="159"/>
      <c r="M49" s="159"/>
      <c r="N49" s="148"/>
    </row>
    <row r="50" spans="1:14" s="3" customFormat="1" x14ac:dyDescent="0.2">
      <c r="A50" s="294" t="s">
        <v>6</v>
      </c>
      <c r="B50" s="288"/>
      <c r="C50" s="289"/>
      <c r="D50" s="252"/>
      <c r="E50" s="23"/>
      <c r="F50" s="145"/>
      <c r="G50" s="33"/>
      <c r="H50" s="145"/>
      <c r="I50" s="145"/>
      <c r="J50" s="33"/>
      <c r="K50" s="33"/>
      <c r="L50" s="159"/>
      <c r="M50" s="159"/>
      <c r="N50" s="148"/>
    </row>
    <row r="51" spans="1:14" s="3" customFormat="1" x14ac:dyDescent="0.2">
      <c r="A51" s="294" t="s">
        <v>7</v>
      </c>
      <c r="B51" s="288"/>
      <c r="C51" s="289"/>
      <c r="D51" s="252"/>
      <c r="E51" s="23"/>
      <c r="F51" s="145"/>
      <c r="G51" s="33"/>
      <c r="H51" s="145"/>
      <c r="I51" s="145"/>
      <c r="J51" s="33"/>
      <c r="K51" s="33"/>
      <c r="L51" s="159"/>
      <c r="M51" s="159"/>
      <c r="N51" s="148"/>
    </row>
    <row r="52" spans="1:14" s="3" customFormat="1" x14ac:dyDescent="0.2">
      <c r="A52" s="294" t="s">
        <v>8</v>
      </c>
      <c r="B52" s="288"/>
      <c r="C52" s="289"/>
      <c r="D52" s="252"/>
      <c r="E52" s="23"/>
      <c r="F52" s="145"/>
      <c r="G52" s="33"/>
      <c r="H52" s="145"/>
      <c r="I52" s="145"/>
      <c r="J52" s="33"/>
      <c r="K52" s="33"/>
      <c r="L52" s="159"/>
      <c r="M52" s="159"/>
      <c r="N52" s="148"/>
    </row>
    <row r="53" spans="1:14" s="3" customFormat="1" ht="15.75" x14ac:dyDescent="0.2">
      <c r="A53" s="39" t="s">
        <v>384</v>
      </c>
      <c r="B53" s="308"/>
      <c r="C53" s="309"/>
      <c r="D53" s="371"/>
      <c r="E53" s="11"/>
      <c r="F53" s="145"/>
      <c r="G53" s="33"/>
      <c r="H53" s="145"/>
      <c r="I53" s="145"/>
      <c r="J53" s="33"/>
      <c r="K53" s="33"/>
      <c r="L53" s="159"/>
      <c r="M53" s="159"/>
      <c r="N53" s="148"/>
    </row>
    <row r="54" spans="1:14" s="3" customFormat="1" ht="15.75" x14ac:dyDescent="0.2">
      <c r="A54" s="38" t="s">
        <v>382</v>
      </c>
      <c r="B54" s="279"/>
      <c r="C54" s="280"/>
      <c r="D54" s="252"/>
      <c r="E54" s="27"/>
      <c r="F54" s="145"/>
      <c r="G54" s="33"/>
      <c r="H54" s="145"/>
      <c r="I54" s="145"/>
      <c r="J54" s="33"/>
      <c r="K54" s="33"/>
      <c r="L54" s="159"/>
      <c r="M54" s="159"/>
      <c r="N54" s="148"/>
    </row>
    <row r="55" spans="1:14" s="3" customFormat="1" ht="15.75" x14ac:dyDescent="0.2">
      <c r="A55" s="38" t="s">
        <v>383</v>
      </c>
      <c r="B55" s="279"/>
      <c r="C55" s="280"/>
      <c r="D55" s="252"/>
      <c r="E55" s="27"/>
      <c r="F55" s="145"/>
      <c r="G55" s="33"/>
      <c r="H55" s="145"/>
      <c r="I55" s="145"/>
      <c r="J55" s="33"/>
      <c r="K55" s="33"/>
      <c r="L55" s="159"/>
      <c r="M55" s="159"/>
      <c r="N55" s="148"/>
    </row>
    <row r="56" spans="1:14" s="3" customFormat="1" ht="15.75" x14ac:dyDescent="0.2">
      <c r="A56" s="39" t="s">
        <v>385</v>
      </c>
      <c r="B56" s="308"/>
      <c r="C56" s="309"/>
      <c r="D56" s="371"/>
      <c r="E56" s="11"/>
      <c r="F56" s="145"/>
      <c r="G56" s="33"/>
      <c r="H56" s="145"/>
      <c r="I56" s="145"/>
      <c r="J56" s="33"/>
      <c r="K56" s="33"/>
      <c r="L56" s="159"/>
      <c r="M56" s="159"/>
      <c r="N56" s="148"/>
    </row>
    <row r="57" spans="1:14" s="3" customFormat="1" ht="15.75" x14ac:dyDescent="0.2">
      <c r="A57" s="38" t="s">
        <v>382</v>
      </c>
      <c r="B57" s="279"/>
      <c r="C57" s="280"/>
      <c r="D57" s="252"/>
      <c r="E57" s="27"/>
      <c r="F57" s="145"/>
      <c r="G57" s="33"/>
      <c r="H57" s="145"/>
      <c r="I57" s="145"/>
      <c r="J57" s="33"/>
      <c r="K57" s="33"/>
      <c r="L57" s="159"/>
      <c r="M57" s="159"/>
      <c r="N57" s="148"/>
    </row>
    <row r="58" spans="1:14" s="3" customFormat="1" ht="15.75" x14ac:dyDescent="0.2">
      <c r="A58" s="46" t="s">
        <v>383</v>
      </c>
      <c r="B58" s="281"/>
      <c r="C58" s="282"/>
      <c r="D58" s="253"/>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95"/>
      <c r="C62" s="695"/>
      <c r="D62" s="695"/>
      <c r="E62" s="297"/>
      <c r="F62" s="695"/>
      <c r="G62" s="695"/>
      <c r="H62" s="695"/>
      <c r="I62" s="297"/>
      <c r="J62" s="695"/>
      <c r="K62" s="695"/>
      <c r="L62" s="695"/>
      <c r="M62" s="297"/>
    </row>
    <row r="63" spans="1:14" x14ac:dyDescent="0.2">
      <c r="A63" s="144"/>
      <c r="B63" s="696" t="s">
        <v>0</v>
      </c>
      <c r="C63" s="697"/>
      <c r="D63" s="698"/>
      <c r="E63" s="298"/>
      <c r="F63" s="697" t="s">
        <v>1</v>
      </c>
      <c r="G63" s="697"/>
      <c r="H63" s="697"/>
      <c r="I63" s="302"/>
      <c r="J63" s="696" t="s">
        <v>2</v>
      </c>
      <c r="K63" s="697"/>
      <c r="L63" s="697"/>
      <c r="M63" s="302"/>
    </row>
    <row r="64" spans="1:14" x14ac:dyDescent="0.2">
      <c r="A64" s="140"/>
      <c r="B64" s="152" t="s">
        <v>422</v>
      </c>
      <c r="C64" s="152" t="s">
        <v>423</v>
      </c>
      <c r="D64" s="243" t="s">
        <v>3</v>
      </c>
      <c r="E64" s="303" t="s">
        <v>29</v>
      </c>
      <c r="F64" s="152" t="s">
        <v>422</v>
      </c>
      <c r="G64" s="152" t="s">
        <v>423</v>
      </c>
      <c r="H64" s="243" t="s">
        <v>3</v>
      </c>
      <c r="I64" s="303" t="s">
        <v>29</v>
      </c>
      <c r="J64" s="152" t="s">
        <v>422</v>
      </c>
      <c r="K64" s="152" t="s">
        <v>423</v>
      </c>
      <c r="L64" s="243" t="s">
        <v>3</v>
      </c>
      <c r="M64" s="162" t="s">
        <v>29</v>
      </c>
    </row>
    <row r="65" spans="1:14" x14ac:dyDescent="0.2">
      <c r="A65" s="666"/>
      <c r="B65" s="156"/>
      <c r="C65" s="156"/>
      <c r="D65" s="244" t="s">
        <v>4</v>
      </c>
      <c r="E65" s="156" t="s">
        <v>30</v>
      </c>
      <c r="F65" s="161"/>
      <c r="G65" s="161"/>
      <c r="H65" s="243" t="s">
        <v>4</v>
      </c>
      <c r="I65" s="156" t="s">
        <v>30</v>
      </c>
      <c r="J65" s="161"/>
      <c r="K65" s="205"/>
      <c r="L65" s="156" t="s">
        <v>4</v>
      </c>
      <c r="M65" s="156" t="s">
        <v>30</v>
      </c>
    </row>
    <row r="66" spans="1:14" ht="15.75" x14ac:dyDescent="0.2">
      <c r="A66" s="14" t="s">
        <v>23</v>
      </c>
      <c r="B66" s="350"/>
      <c r="C66" s="350"/>
      <c r="D66" s="347"/>
      <c r="E66" s="11"/>
      <c r="F66" s="349"/>
      <c r="G66" s="349"/>
      <c r="H66" s="347"/>
      <c r="I66" s="11"/>
      <c r="J66" s="307"/>
      <c r="K66" s="314"/>
      <c r="L66" s="371"/>
      <c r="M66" s="11"/>
    </row>
    <row r="67" spans="1:14" x14ac:dyDescent="0.2">
      <c r="A67" s="365" t="s">
        <v>9</v>
      </c>
      <c r="B67" s="44"/>
      <c r="C67" s="145"/>
      <c r="D67" s="166"/>
      <c r="E67" s="27"/>
      <c r="F67" s="232"/>
      <c r="G67" s="145"/>
      <c r="H67" s="166"/>
      <c r="I67" s="27"/>
      <c r="J67" s="285"/>
      <c r="K67" s="44"/>
      <c r="L67" s="252"/>
      <c r="M67" s="27"/>
    </row>
    <row r="68" spans="1:14" x14ac:dyDescent="0.2">
      <c r="A68" s="21" t="s">
        <v>10</v>
      </c>
      <c r="B68" s="290"/>
      <c r="C68" s="291"/>
      <c r="D68" s="166"/>
      <c r="E68" s="27"/>
      <c r="F68" s="290"/>
      <c r="G68" s="291"/>
      <c r="H68" s="166"/>
      <c r="I68" s="27"/>
      <c r="J68" s="285"/>
      <c r="K68" s="44"/>
      <c r="L68" s="252"/>
      <c r="M68" s="27"/>
    </row>
    <row r="69" spans="1:14" ht="15.75" x14ac:dyDescent="0.2">
      <c r="A69" s="294" t="s">
        <v>386</v>
      </c>
      <c r="B69" s="279"/>
      <c r="C69" s="279"/>
      <c r="D69" s="166"/>
      <c r="E69" s="363"/>
      <c r="F69" s="279"/>
      <c r="G69" s="279"/>
      <c r="H69" s="166"/>
      <c r="I69" s="363"/>
      <c r="J69" s="288"/>
      <c r="K69" s="288"/>
      <c r="L69" s="166"/>
      <c r="M69" s="23"/>
    </row>
    <row r="70" spans="1:14" x14ac:dyDescent="0.2">
      <c r="A70" s="294" t="s">
        <v>12</v>
      </c>
      <c r="B70" s="292"/>
      <c r="C70" s="293"/>
      <c r="D70" s="166"/>
      <c r="E70" s="363"/>
      <c r="F70" s="279"/>
      <c r="G70" s="279"/>
      <c r="H70" s="166"/>
      <c r="I70" s="363"/>
      <c r="J70" s="288"/>
      <c r="K70" s="288"/>
      <c r="L70" s="166"/>
      <c r="M70" s="23"/>
    </row>
    <row r="71" spans="1:14" x14ac:dyDescent="0.2">
      <c r="A71" s="294" t="s">
        <v>13</v>
      </c>
      <c r="B71" s="233"/>
      <c r="C71" s="287"/>
      <c r="D71" s="166"/>
      <c r="E71" s="363"/>
      <c r="F71" s="279"/>
      <c r="G71" s="279"/>
      <c r="H71" s="166"/>
      <c r="I71" s="363"/>
      <c r="J71" s="288"/>
      <c r="K71" s="288"/>
      <c r="L71" s="166"/>
      <c r="M71" s="23"/>
    </row>
    <row r="72" spans="1:14" ht="15.75" x14ac:dyDescent="0.2">
      <c r="A72" s="294" t="s">
        <v>387</v>
      </c>
      <c r="B72" s="279"/>
      <c r="C72" s="279"/>
      <c r="D72" s="166"/>
      <c r="E72" s="363"/>
      <c r="F72" s="279"/>
      <c r="G72" s="279"/>
      <c r="H72" s="166"/>
      <c r="I72" s="363"/>
      <c r="J72" s="288"/>
      <c r="K72" s="288"/>
      <c r="L72" s="166"/>
      <c r="M72" s="23"/>
    </row>
    <row r="73" spans="1:14" x14ac:dyDescent="0.2">
      <c r="A73" s="294" t="s">
        <v>12</v>
      </c>
      <c r="B73" s="233"/>
      <c r="C73" s="287"/>
      <c r="D73" s="166"/>
      <c r="E73" s="363"/>
      <c r="F73" s="279"/>
      <c r="G73" s="279"/>
      <c r="H73" s="166"/>
      <c r="I73" s="363"/>
      <c r="J73" s="288"/>
      <c r="K73" s="288"/>
      <c r="L73" s="166"/>
      <c r="M73" s="23"/>
    </row>
    <row r="74" spans="1:14" s="3" customFormat="1" x14ac:dyDescent="0.2">
      <c r="A74" s="294" t="s">
        <v>13</v>
      </c>
      <c r="B74" s="233"/>
      <c r="C74" s="287"/>
      <c r="D74" s="166"/>
      <c r="E74" s="363"/>
      <c r="F74" s="279"/>
      <c r="G74" s="279"/>
      <c r="H74" s="166"/>
      <c r="I74" s="363"/>
      <c r="J74" s="288"/>
      <c r="K74" s="288"/>
      <c r="L74" s="166"/>
      <c r="M74" s="23"/>
      <c r="N74" s="148"/>
    </row>
    <row r="75" spans="1:14" s="3" customFormat="1" x14ac:dyDescent="0.2">
      <c r="A75" s="21" t="s">
        <v>356</v>
      </c>
      <c r="B75" s="232"/>
      <c r="C75" s="145"/>
      <c r="D75" s="166"/>
      <c r="E75" s="27"/>
      <c r="F75" s="232"/>
      <c r="G75" s="145"/>
      <c r="H75" s="166"/>
      <c r="I75" s="27"/>
      <c r="J75" s="285"/>
      <c r="K75" s="44"/>
      <c r="L75" s="252"/>
      <c r="M75" s="27"/>
      <c r="N75" s="148"/>
    </row>
    <row r="76" spans="1:14" s="3" customFormat="1" x14ac:dyDescent="0.2">
      <c r="A76" s="21" t="s">
        <v>355</v>
      </c>
      <c r="B76" s="232"/>
      <c r="C76" s="145"/>
      <c r="D76" s="166"/>
      <c r="E76" s="27"/>
      <c r="F76" s="232"/>
      <c r="G76" s="145"/>
      <c r="H76" s="166"/>
      <c r="I76" s="27"/>
      <c r="J76" s="285"/>
      <c r="K76" s="44"/>
      <c r="L76" s="252"/>
      <c r="M76" s="27"/>
      <c r="N76" s="148"/>
    </row>
    <row r="77" spans="1:14" ht="15.75" x14ac:dyDescent="0.2">
      <c r="A77" s="21" t="s">
        <v>388</v>
      </c>
      <c r="B77" s="232"/>
      <c r="C77" s="232"/>
      <c r="D77" s="166"/>
      <c r="E77" s="27"/>
      <c r="F77" s="232"/>
      <c r="G77" s="145"/>
      <c r="H77" s="166"/>
      <c r="I77" s="27"/>
      <c r="J77" s="285"/>
      <c r="K77" s="44"/>
      <c r="L77" s="252"/>
      <c r="M77" s="27"/>
    </row>
    <row r="78" spans="1:14" x14ac:dyDescent="0.2">
      <c r="A78" s="21" t="s">
        <v>9</v>
      </c>
      <c r="B78" s="232"/>
      <c r="C78" s="145"/>
      <c r="D78" s="166"/>
      <c r="E78" s="27"/>
      <c r="F78" s="232"/>
      <c r="G78" s="145"/>
      <c r="H78" s="166"/>
      <c r="I78" s="27"/>
      <c r="J78" s="285"/>
      <c r="K78" s="44"/>
      <c r="L78" s="252"/>
      <c r="M78" s="27"/>
    </row>
    <row r="79" spans="1:14" x14ac:dyDescent="0.2">
      <c r="A79" s="21" t="s">
        <v>10</v>
      </c>
      <c r="B79" s="290"/>
      <c r="C79" s="291"/>
      <c r="D79" s="166"/>
      <c r="E79" s="27"/>
      <c r="F79" s="290"/>
      <c r="G79" s="291"/>
      <c r="H79" s="166"/>
      <c r="I79" s="27"/>
      <c r="J79" s="285"/>
      <c r="K79" s="44"/>
      <c r="L79" s="252"/>
      <c r="M79" s="27"/>
    </row>
    <row r="80" spans="1:14" ht="15.75" x14ac:dyDescent="0.2">
      <c r="A80" s="294" t="s">
        <v>386</v>
      </c>
      <c r="B80" s="279"/>
      <c r="C80" s="279"/>
      <c r="D80" s="166"/>
      <c r="E80" s="363"/>
      <c r="F80" s="279"/>
      <c r="G80" s="279"/>
      <c r="H80" s="166"/>
      <c r="I80" s="363"/>
      <c r="J80" s="288"/>
      <c r="K80" s="288"/>
      <c r="L80" s="166"/>
      <c r="M80" s="23"/>
    </row>
    <row r="81" spans="1:13" x14ac:dyDescent="0.2">
      <c r="A81" s="294" t="s">
        <v>12</v>
      </c>
      <c r="B81" s="233"/>
      <c r="C81" s="287"/>
      <c r="D81" s="166"/>
      <c r="E81" s="363"/>
      <c r="F81" s="279"/>
      <c r="G81" s="279"/>
      <c r="H81" s="166"/>
      <c r="I81" s="363"/>
      <c r="J81" s="288"/>
      <c r="K81" s="288"/>
      <c r="L81" s="166"/>
      <c r="M81" s="23"/>
    </row>
    <row r="82" spans="1:13" x14ac:dyDescent="0.2">
      <c r="A82" s="294" t="s">
        <v>13</v>
      </c>
      <c r="B82" s="233"/>
      <c r="C82" s="287"/>
      <c r="D82" s="166"/>
      <c r="E82" s="363"/>
      <c r="F82" s="279"/>
      <c r="G82" s="279"/>
      <c r="H82" s="166"/>
      <c r="I82" s="363"/>
      <c r="J82" s="288"/>
      <c r="K82" s="288"/>
      <c r="L82" s="166"/>
      <c r="M82" s="23"/>
    </row>
    <row r="83" spans="1:13" ht="15.75" x14ac:dyDescent="0.2">
      <c r="A83" s="294" t="s">
        <v>387</v>
      </c>
      <c r="B83" s="279"/>
      <c r="C83" s="279"/>
      <c r="D83" s="166"/>
      <c r="E83" s="363"/>
      <c r="F83" s="279"/>
      <c r="G83" s="279"/>
      <c r="H83" s="166"/>
      <c r="I83" s="363"/>
      <c r="J83" s="288"/>
      <c r="K83" s="288"/>
      <c r="L83" s="166"/>
      <c r="M83" s="23"/>
    </row>
    <row r="84" spans="1:13" x14ac:dyDescent="0.2">
      <c r="A84" s="294" t="s">
        <v>12</v>
      </c>
      <c r="B84" s="233"/>
      <c r="C84" s="287"/>
      <c r="D84" s="166"/>
      <c r="E84" s="363"/>
      <c r="F84" s="279"/>
      <c r="G84" s="279"/>
      <c r="H84" s="166"/>
      <c r="I84" s="363"/>
      <c r="J84" s="288"/>
      <c r="K84" s="288"/>
      <c r="L84" s="166"/>
      <c r="M84" s="23"/>
    </row>
    <row r="85" spans="1:13" x14ac:dyDescent="0.2">
      <c r="A85" s="294" t="s">
        <v>13</v>
      </c>
      <c r="B85" s="233"/>
      <c r="C85" s="287"/>
      <c r="D85" s="166"/>
      <c r="E85" s="363"/>
      <c r="F85" s="279"/>
      <c r="G85" s="279"/>
      <c r="H85" s="166"/>
      <c r="I85" s="363"/>
      <c r="J85" s="288"/>
      <c r="K85" s="288"/>
      <c r="L85" s="166"/>
      <c r="M85" s="23"/>
    </row>
    <row r="86" spans="1:13" ht="15.75" x14ac:dyDescent="0.2">
      <c r="A86" s="21" t="s">
        <v>389</v>
      </c>
      <c r="B86" s="232"/>
      <c r="C86" s="145"/>
      <c r="D86" s="166"/>
      <c r="E86" s="27"/>
      <c r="F86" s="232"/>
      <c r="G86" s="145"/>
      <c r="H86" s="166"/>
      <c r="I86" s="27"/>
      <c r="J86" s="285"/>
      <c r="K86" s="44"/>
      <c r="L86" s="252"/>
      <c r="M86" s="27"/>
    </row>
    <row r="87" spans="1:13" ht="15.75" x14ac:dyDescent="0.2">
      <c r="A87" s="13" t="s">
        <v>371</v>
      </c>
      <c r="B87" s="350"/>
      <c r="C87" s="350"/>
      <c r="D87" s="171"/>
      <c r="E87" s="11"/>
      <c r="F87" s="349"/>
      <c r="G87" s="349"/>
      <c r="H87" s="171"/>
      <c r="I87" s="11"/>
      <c r="J87" s="307"/>
      <c r="K87" s="234"/>
      <c r="L87" s="371"/>
      <c r="M87" s="11"/>
    </row>
    <row r="88" spans="1:13" x14ac:dyDescent="0.2">
      <c r="A88" s="21" t="s">
        <v>9</v>
      </c>
      <c r="B88" s="232"/>
      <c r="C88" s="145"/>
      <c r="D88" s="166"/>
      <c r="E88" s="27"/>
      <c r="F88" s="232"/>
      <c r="G88" s="145"/>
      <c r="H88" s="166"/>
      <c r="I88" s="27"/>
      <c r="J88" s="285"/>
      <c r="K88" s="44"/>
      <c r="L88" s="252"/>
      <c r="M88" s="27"/>
    </row>
    <row r="89" spans="1:13" x14ac:dyDescent="0.2">
      <c r="A89" s="21" t="s">
        <v>10</v>
      </c>
      <c r="B89" s="232"/>
      <c r="C89" s="145"/>
      <c r="D89" s="166"/>
      <c r="E89" s="27"/>
      <c r="F89" s="232"/>
      <c r="G89" s="145"/>
      <c r="H89" s="166"/>
      <c r="I89" s="27"/>
      <c r="J89" s="285"/>
      <c r="K89" s="44"/>
      <c r="L89" s="252"/>
      <c r="M89" s="27"/>
    </row>
    <row r="90" spans="1:13" ht="15.75" x14ac:dyDescent="0.2">
      <c r="A90" s="294" t="s">
        <v>386</v>
      </c>
      <c r="B90" s="279"/>
      <c r="C90" s="279"/>
      <c r="D90" s="166"/>
      <c r="E90" s="363"/>
      <c r="F90" s="279"/>
      <c r="G90" s="279"/>
      <c r="H90" s="166"/>
      <c r="I90" s="363"/>
      <c r="J90" s="288"/>
      <c r="K90" s="288"/>
      <c r="L90" s="166"/>
      <c r="M90" s="23"/>
    </row>
    <row r="91" spans="1:13" x14ac:dyDescent="0.2">
      <c r="A91" s="294" t="s">
        <v>12</v>
      </c>
      <c r="B91" s="233"/>
      <c r="C91" s="287"/>
      <c r="D91" s="166"/>
      <c r="E91" s="363"/>
      <c r="F91" s="279"/>
      <c r="G91" s="279"/>
      <c r="H91" s="166"/>
      <c r="I91" s="363"/>
      <c r="J91" s="288"/>
      <c r="K91" s="288"/>
      <c r="L91" s="166"/>
      <c r="M91" s="23"/>
    </row>
    <row r="92" spans="1:13" x14ac:dyDescent="0.2">
      <c r="A92" s="294" t="s">
        <v>13</v>
      </c>
      <c r="B92" s="233"/>
      <c r="C92" s="287"/>
      <c r="D92" s="166"/>
      <c r="E92" s="363"/>
      <c r="F92" s="279"/>
      <c r="G92" s="279"/>
      <c r="H92" s="166"/>
      <c r="I92" s="363"/>
      <c r="J92" s="288"/>
      <c r="K92" s="288"/>
      <c r="L92" s="166"/>
      <c r="M92" s="23"/>
    </row>
    <row r="93" spans="1:13" ht="15.75" x14ac:dyDescent="0.2">
      <c r="A93" s="294" t="s">
        <v>387</v>
      </c>
      <c r="B93" s="279"/>
      <c r="C93" s="279"/>
      <c r="D93" s="166"/>
      <c r="E93" s="363"/>
      <c r="F93" s="279"/>
      <c r="G93" s="279"/>
      <c r="H93" s="166"/>
      <c r="I93" s="363"/>
      <c r="J93" s="288"/>
      <c r="K93" s="288"/>
      <c r="L93" s="166"/>
      <c r="M93" s="23"/>
    </row>
    <row r="94" spans="1:13" x14ac:dyDescent="0.2">
      <c r="A94" s="294" t="s">
        <v>12</v>
      </c>
      <c r="B94" s="233"/>
      <c r="C94" s="287"/>
      <c r="D94" s="166"/>
      <c r="E94" s="363"/>
      <c r="F94" s="279"/>
      <c r="G94" s="279"/>
      <c r="H94" s="166"/>
      <c r="I94" s="363"/>
      <c r="J94" s="288"/>
      <c r="K94" s="288"/>
      <c r="L94" s="166"/>
      <c r="M94" s="23"/>
    </row>
    <row r="95" spans="1:13" x14ac:dyDescent="0.2">
      <c r="A95" s="294" t="s">
        <v>13</v>
      </c>
      <c r="B95" s="233"/>
      <c r="C95" s="287"/>
      <c r="D95" s="166"/>
      <c r="E95" s="363"/>
      <c r="F95" s="279"/>
      <c r="G95" s="279"/>
      <c r="H95" s="166"/>
      <c r="I95" s="363"/>
      <c r="J95" s="288"/>
      <c r="K95" s="288"/>
      <c r="L95" s="166"/>
      <c r="M95" s="23"/>
    </row>
    <row r="96" spans="1:13" x14ac:dyDescent="0.2">
      <c r="A96" s="21" t="s">
        <v>354</v>
      </c>
      <c r="B96" s="232"/>
      <c r="C96" s="145"/>
      <c r="D96" s="166"/>
      <c r="E96" s="27"/>
      <c r="F96" s="232"/>
      <c r="G96" s="145"/>
      <c r="H96" s="166"/>
      <c r="I96" s="27"/>
      <c r="J96" s="285"/>
      <c r="K96" s="44"/>
      <c r="L96" s="252"/>
      <c r="M96" s="27"/>
    </row>
    <row r="97" spans="1:13" x14ac:dyDescent="0.2">
      <c r="A97" s="21" t="s">
        <v>353</v>
      </c>
      <c r="B97" s="232"/>
      <c r="C97" s="145"/>
      <c r="D97" s="166"/>
      <c r="E97" s="27"/>
      <c r="F97" s="232"/>
      <c r="G97" s="145"/>
      <c r="H97" s="166"/>
      <c r="I97" s="27"/>
      <c r="J97" s="285"/>
      <c r="K97" s="44"/>
      <c r="L97" s="252"/>
      <c r="M97" s="27"/>
    </row>
    <row r="98" spans="1:13" ht="15.75" x14ac:dyDescent="0.2">
      <c r="A98" s="21" t="s">
        <v>388</v>
      </c>
      <c r="B98" s="232"/>
      <c r="C98" s="232"/>
      <c r="D98" s="166"/>
      <c r="E98" s="27"/>
      <c r="F98" s="290"/>
      <c r="G98" s="290"/>
      <c r="H98" s="166"/>
      <c r="I98" s="27"/>
      <c r="J98" s="285"/>
      <c r="K98" s="44"/>
      <c r="L98" s="252"/>
      <c r="M98" s="27"/>
    </row>
    <row r="99" spans="1:13" x14ac:dyDescent="0.2">
      <c r="A99" s="21" t="s">
        <v>9</v>
      </c>
      <c r="B99" s="290"/>
      <c r="C99" s="291"/>
      <c r="D99" s="166"/>
      <c r="E99" s="27"/>
      <c r="F99" s="232"/>
      <c r="G99" s="145"/>
      <c r="H99" s="166"/>
      <c r="I99" s="27"/>
      <c r="J99" s="285"/>
      <c r="K99" s="44"/>
      <c r="L99" s="252"/>
      <c r="M99" s="27"/>
    </row>
    <row r="100" spans="1:13" x14ac:dyDescent="0.2">
      <c r="A100" s="21" t="s">
        <v>10</v>
      </c>
      <c r="B100" s="290"/>
      <c r="C100" s="291"/>
      <c r="D100" s="166"/>
      <c r="E100" s="27"/>
      <c r="F100" s="232"/>
      <c r="G100" s="232"/>
      <c r="H100" s="166"/>
      <c r="I100" s="27"/>
      <c r="J100" s="285"/>
      <c r="K100" s="44"/>
      <c r="L100" s="252"/>
      <c r="M100" s="27"/>
    </row>
    <row r="101" spans="1:13" ht="15.75" x14ac:dyDescent="0.2">
      <c r="A101" s="294" t="s">
        <v>386</v>
      </c>
      <c r="B101" s="279"/>
      <c r="C101" s="279"/>
      <c r="D101" s="166"/>
      <c r="E101" s="363"/>
      <c r="F101" s="279"/>
      <c r="G101" s="279"/>
      <c r="H101" s="166"/>
      <c r="I101" s="363"/>
      <c r="J101" s="288"/>
      <c r="K101" s="288"/>
      <c r="L101" s="166"/>
      <c r="M101" s="23"/>
    </row>
    <row r="102" spans="1:13" x14ac:dyDescent="0.2">
      <c r="A102" s="294" t="s">
        <v>12</v>
      </c>
      <c r="B102" s="233"/>
      <c r="C102" s="287"/>
      <c r="D102" s="166"/>
      <c r="E102" s="363"/>
      <c r="F102" s="279"/>
      <c r="G102" s="279"/>
      <c r="H102" s="166"/>
      <c r="I102" s="363"/>
      <c r="J102" s="288"/>
      <c r="K102" s="288"/>
      <c r="L102" s="166"/>
      <c r="M102" s="23"/>
    </row>
    <row r="103" spans="1:13" x14ac:dyDescent="0.2">
      <c r="A103" s="294" t="s">
        <v>13</v>
      </c>
      <c r="B103" s="233"/>
      <c r="C103" s="287"/>
      <c r="D103" s="166"/>
      <c r="E103" s="363"/>
      <c r="F103" s="279"/>
      <c r="G103" s="279"/>
      <c r="H103" s="166"/>
      <c r="I103" s="363"/>
      <c r="J103" s="288"/>
      <c r="K103" s="288"/>
      <c r="L103" s="166"/>
      <c r="M103" s="23"/>
    </row>
    <row r="104" spans="1:13" ht="15.75" x14ac:dyDescent="0.2">
      <c r="A104" s="294" t="s">
        <v>387</v>
      </c>
      <c r="B104" s="279"/>
      <c r="C104" s="279"/>
      <c r="D104" s="166"/>
      <c r="E104" s="363"/>
      <c r="F104" s="279"/>
      <c r="G104" s="279"/>
      <c r="H104" s="166"/>
      <c r="I104" s="363"/>
      <c r="J104" s="288"/>
      <c r="K104" s="288"/>
      <c r="L104" s="166"/>
      <c r="M104" s="23"/>
    </row>
    <row r="105" spans="1:13" x14ac:dyDescent="0.2">
      <c r="A105" s="294" t="s">
        <v>12</v>
      </c>
      <c r="B105" s="233"/>
      <c r="C105" s="287"/>
      <c r="D105" s="166"/>
      <c r="E105" s="363"/>
      <c r="F105" s="279"/>
      <c r="G105" s="279"/>
      <c r="H105" s="166"/>
      <c r="I105" s="363"/>
      <c r="J105" s="288"/>
      <c r="K105" s="288"/>
      <c r="L105" s="166"/>
      <c r="M105" s="23"/>
    </row>
    <row r="106" spans="1:13" x14ac:dyDescent="0.2">
      <c r="A106" s="294" t="s">
        <v>13</v>
      </c>
      <c r="B106" s="233"/>
      <c r="C106" s="287"/>
      <c r="D106" s="166"/>
      <c r="E106" s="363"/>
      <c r="F106" s="279"/>
      <c r="G106" s="279"/>
      <c r="H106" s="166"/>
      <c r="I106" s="363"/>
      <c r="J106" s="288"/>
      <c r="K106" s="288"/>
      <c r="L106" s="166"/>
      <c r="M106" s="23"/>
    </row>
    <row r="107" spans="1:13" ht="15.75" x14ac:dyDescent="0.2">
      <c r="A107" s="21" t="s">
        <v>389</v>
      </c>
      <c r="B107" s="232"/>
      <c r="C107" s="145"/>
      <c r="D107" s="166"/>
      <c r="E107" s="27"/>
      <c r="F107" s="232"/>
      <c r="G107" s="145"/>
      <c r="H107" s="166"/>
      <c r="I107" s="27"/>
      <c r="J107" s="285"/>
      <c r="K107" s="44"/>
      <c r="L107" s="252"/>
      <c r="M107" s="27"/>
    </row>
    <row r="108" spans="1:13" ht="15.75" x14ac:dyDescent="0.2">
      <c r="A108" s="21" t="s">
        <v>390</v>
      </c>
      <c r="B108" s="232"/>
      <c r="C108" s="232"/>
      <c r="D108" s="166"/>
      <c r="E108" s="27"/>
      <c r="F108" s="232"/>
      <c r="G108" s="232"/>
      <c r="H108" s="166"/>
      <c r="I108" s="27"/>
      <c r="J108" s="285"/>
      <c r="K108" s="44"/>
      <c r="L108" s="252"/>
      <c r="M108" s="27"/>
    </row>
    <row r="109" spans="1:13" ht="15.75" x14ac:dyDescent="0.2">
      <c r="A109" s="21" t="s">
        <v>391</v>
      </c>
      <c r="B109" s="232"/>
      <c r="C109" s="232"/>
      <c r="D109" s="166"/>
      <c r="E109" s="27"/>
      <c r="F109" s="232"/>
      <c r="G109" s="232"/>
      <c r="H109" s="166"/>
      <c r="I109" s="27"/>
      <c r="J109" s="285"/>
      <c r="K109" s="44"/>
      <c r="L109" s="252"/>
      <c r="M109" s="27"/>
    </row>
    <row r="110" spans="1:13" ht="15.75" x14ac:dyDescent="0.2">
      <c r="A110" s="21" t="s">
        <v>392</v>
      </c>
      <c r="B110" s="232"/>
      <c r="C110" s="232"/>
      <c r="D110" s="166"/>
      <c r="E110" s="27"/>
      <c r="F110" s="232"/>
      <c r="G110" s="232"/>
      <c r="H110" s="166"/>
      <c r="I110" s="27"/>
      <c r="J110" s="285"/>
      <c r="K110" s="44"/>
      <c r="L110" s="252"/>
      <c r="M110" s="27"/>
    </row>
    <row r="111" spans="1:13" ht="15.75" x14ac:dyDescent="0.2">
      <c r="A111" s="13" t="s">
        <v>372</v>
      </c>
      <c r="B111" s="306"/>
      <c r="C111" s="159"/>
      <c r="D111" s="171"/>
      <c r="E111" s="11"/>
      <c r="F111" s="306"/>
      <c r="G111" s="159"/>
      <c r="H111" s="171"/>
      <c r="I111" s="11"/>
      <c r="J111" s="307"/>
      <c r="K111" s="234"/>
      <c r="L111" s="371"/>
      <c r="M111" s="11"/>
    </row>
    <row r="112" spans="1:13" x14ac:dyDescent="0.2">
      <c r="A112" s="21" t="s">
        <v>9</v>
      </c>
      <c r="B112" s="232"/>
      <c r="C112" s="145"/>
      <c r="D112" s="166"/>
      <c r="E112" s="27"/>
      <c r="F112" s="232"/>
      <c r="G112" s="145"/>
      <c r="H112" s="166"/>
      <c r="I112" s="27"/>
      <c r="J112" s="285"/>
      <c r="K112" s="44"/>
      <c r="L112" s="252"/>
      <c r="M112" s="27"/>
    </row>
    <row r="113" spans="1:14" x14ac:dyDescent="0.2">
      <c r="A113" s="21" t="s">
        <v>10</v>
      </c>
      <c r="B113" s="232"/>
      <c r="C113" s="145"/>
      <c r="D113" s="166"/>
      <c r="E113" s="27"/>
      <c r="F113" s="232"/>
      <c r="G113" s="145"/>
      <c r="H113" s="166"/>
      <c r="I113" s="27"/>
      <c r="J113" s="285"/>
      <c r="K113" s="44"/>
      <c r="L113" s="252"/>
      <c r="M113" s="27"/>
    </row>
    <row r="114" spans="1:14" x14ac:dyDescent="0.2">
      <c r="A114" s="21" t="s">
        <v>26</v>
      </c>
      <c r="B114" s="232"/>
      <c r="C114" s="145"/>
      <c r="D114" s="166"/>
      <c r="E114" s="27"/>
      <c r="F114" s="232"/>
      <c r="G114" s="145"/>
      <c r="H114" s="166"/>
      <c r="I114" s="27"/>
      <c r="J114" s="285"/>
      <c r="K114" s="44"/>
      <c r="L114" s="252"/>
      <c r="M114" s="27"/>
    </row>
    <row r="115" spans="1:14" x14ac:dyDescent="0.2">
      <c r="A115" s="294" t="s">
        <v>15</v>
      </c>
      <c r="B115" s="279"/>
      <c r="C115" s="279"/>
      <c r="D115" s="166"/>
      <c r="E115" s="363"/>
      <c r="F115" s="279"/>
      <c r="G115" s="279"/>
      <c r="H115" s="166"/>
      <c r="I115" s="363"/>
      <c r="J115" s="288"/>
      <c r="K115" s="288"/>
      <c r="L115" s="166"/>
      <c r="M115" s="23"/>
    </row>
    <row r="116" spans="1:14" ht="15.75" x14ac:dyDescent="0.2">
      <c r="A116" s="21" t="s">
        <v>393</v>
      </c>
      <c r="B116" s="232"/>
      <c r="C116" s="232"/>
      <c r="D116" s="166"/>
      <c r="E116" s="27"/>
      <c r="F116" s="232"/>
      <c r="G116" s="232"/>
      <c r="H116" s="166"/>
      <c r="I116" s="27"/>
      <c r="J116" s="285"/>
      <c r="K116" s="44"/>
      <c r="L116" s="252"/>
      <c r="M116" s="27"/>
    </row>
    <row r="117" spans="1:14" ht="15.75" x14ac:dyDescent="0.2">
      <c r="A117" s="21" t="s">
        <v>394</v>
      </c>
      <c r="B117" s="232"/>
      <c r="C117" s="232"/>
      <c r="D117" s="166"/>
      <c r="E117" s="27"/>
      <c r="F117" s="232"/>
      <c r="G117" s="232"/>
      <c r="H117" s="166"/>
      <c r="I117" s="27"/>
      <c r="J117" s="285"/>
      <c r="K117" s="44"/>
      <c r="L117" s="252"/>
      <c r="M117" s="27"/>
    </row>
    <row r="118" spans="1:14" ht="15.75" x14ac:dyDescent="0.2">
      <c r="A118" s="21" t="s">
        <v>392</v>
      </c>
      <c r="B118" s="232"/>
      <c r="C118" s="232"/>
      <c r="D118" s="166"/>
      <c r="E118" s="27"/>
      <c r="F118" s="232"/>
      <c r="G118" s="232"/>
      <c r="H118" s="166"/>
      <c r="I118" s="27"/>
      <c r="J118" s="285"/>
      <c r="K118" s="44"/>
      <c r="L118" s="252"/>
      <c r="M118" s="27"/>
    </row>
    <row r="119" spans="1:14" ht="15.75" x14ac:dyDescent="0.2">
      <c r="A119" s="13" t="s">
        <v>373</v>
      </c>
      <c r="B119" s="306"/>
      <c r="C119" s="159"/>
      <c r="D119" s="171"/>
      <c r="E119" s="11"/>
      <c r="F119" s="306"/>
      <c r="G119" s="159"/>
      <c r="H119" s="171"/>
      <c r="I119" s="11"/>
      <c r="J119" s="307"/>
      <c r="K119" s="234"/>
      <c r="L119" s="371"/>
      <c r="M119" s="11"/>
    </row>
    <row r="120" spans="1:14" x14ac:dyDescent="0.2">
      <c r="A120" s="21" t="s">
        <v>9</v>
      </c>
      <c r="B120" s="232"/>
      <c r="C120" s="145"/>
      <c r="D120" s="166"/>
      <c r="E120" s="27"/>
      <c r="F120" s="232"/>
      <c r="G120" s="145"/>
      <c r="H120" s="166"/>
      <c r="I120" s="27"/>
      <c r="J120" s="285"/>
      <c r="K120" s="44"/>
      <c r="L120" s="252"/>
      <c r="M120" s="27"/>
    </row>
    <row r="121" spans="1:14" x14ac:dyDescent="0.2">
      <c r="A121" s="21" t="s">
        <v>10</v>
      </c>
      <c r="B121" s="232"/>
      <c r="C121" s="145"/>
      <c r="D121" s="166"/>
      <c r="E121" s="27"/>
      <c r="F121" s="232"/>
      <c r="G121" s="145"/>
      <c r="H121" s="166"/>
      <c r="I121" s="27"/>
      <c r="J121" s="285"/>
      <c r="K121" s="44"/>
      <c r="L121" s="252"/>
      <c r="M121" s="27"/>
    </row>
    <row r="122" spans="1:14" x14ac:dyDescent="0.2">
      <c r="A122" s="21" t="s">
        <v>26</v>
      </c>
      <c r="B122" s="232"/>
      <c r="C122" s="145"/>
      <c r="D122" s="166"/>
      <c r="E122" s="27"/>
      <c r="F122" s="232"/>
      <c r="G122" s="145"/>
      <c r="H122" s="166"/>
      <c r="I122" s="27"/>
      <c r="J122" s="285"/>
      <c r="K122" s="44"/>
      <c r="L122" s="252"/>
      <c r="M122" s="27"/>
    </row>
    <row r="123" spans="1:14" x14ac:dyDescent="0.2">
      <c r="A123" s="294" t="s">
        <v>14</v>
      </c>
      <c r="B123" s="279"/>
      <c r="C123" s="279"/>
      <c r="D123" s="166"/>
      <c r="E123" s="363"/>
      <c r="F123" s="279"/>
      <c r="G123" s="279"/>
      <c r="H123" s="166"/>
      <c r="I123" s="363"/>
      <c r="J123" s="288"/>
      <c r="K123" s="288"/>
      <c r="L123" s="166"/>
      <c r="M123" s="23"/>
    </row>
    <row r="124" spans="1:14" ht="15.75" x14ac:dyDescent="0.2">
      <c r="A124" s="21" t="s">
        <v>399</v>
      </c>
      <c r="B124" s="232"/>
      <c r="C124" s="232"/>
      <c r="D124" s="166"/>
      <c r="E124" s="27"/>
      <c r="F124" s="232"/>
      <c r="G124" s="232"/>
      <c r="H124" s="166"/>
      <c r="I124" s="27"/>
      <c r="J124" s="285"/>
      <c r="K124" s="44"/>
      <c r="L124" s="252"/>
      <c r="M124" s="27"/>
    </row>
    <row r="125" spans="1:14" ht="15.75" x14ac:dyDescent="0.2">
      <c r="A125" s="21" t="s">
        <v>391</v>
      </c>
      <c r="B125" s="232"/>
      <c r="C125" s="232"/>
      <c r="D125" s="166"/>
      <c r="E125" s="27"/>
      <c r="F125" s="232"/>
      <c r="G125" s="232"/>
      <c r="H125" s="166"/>
      <c r="I125" s="27"/>
      <c r="J125" s="285"/>
      <c r="K125" s="44"/>
      <c r="L125" s="252"/>
      <c r="M125" s="27"/>
    </row>
    <row r="126" spans="1:14" ht="15.75" x14ac:dyDescent="0.2">
      <c r="A126" s="10" t="s">
        <v>392</v>
      </c>
      <c r="B126" s="45"/>
      <c r="C126" s="45"/>
      <c r="D126" s="167"/>
      <c r="E126" s="364"/>
      <c r="F126" s="45"/>
      <c r="G126" s="45"/>
      <c r="H126" s="167"/>
      <c r="I126" s="22"/>
      <c r="J126" s="286"/>
      <c r="K126" s="45"/>
      <c r="L126" s="253"/>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95"/>
      <c r="C130" s="695"/>
      <c r="D130" s="695"/>
      <c r="E130" s="297"/>
      <c r="F130" s="695"/>
      <c r="G130" s="695"/>
      <c r="H130" s="695"/>
      <c r="I130" s="297"/>
      <c r="J130" s="695"/>
      <c r="K130" s="695"/>
      <c r="L130" s="695"/>
      <c r="M130" s="297"/>
    </row>
    <row r="131" spans="1:14" s="3" customFormat="1" x14ac:dyDescent="0.2">
      <c r="A131" s="144"/>
      <c r="B131" s="696" t="s">
        <v>0</v>
      </c>
      <c r="C131" s="697"/>
      <c r="D131" s="697"/>
      <c r="E131" s="299"/>
      <c r="F131" s="696" t="s">
        <v>1</v>
      </c>
      <c r="G131" s="697"/>
      <c r="H131" s="697"/>
      <c r="I131" s="302"/>
      <c r="J131" s="696" t="s">
        <v>2</v>
      </c>
      <c r="K131" s="697"/>
      <c r="L131" s="697"/>
      <c r="M131" s="302"/>
      <c r="N131" s="148"/>
    </row>
    <row r="132" spans="1:14" s="3" customFormat="1" x14ac:dyDescent="0.2">
      <c r="A132" s="140"/>
      <c r="B132" s="152" t="s">
        <v>422</v>
      </c>
      <c r="C132" s="152" t="s">
        <v>423</v>
      </c>
      <c r="D132" s="243" t="s">
        <v>3</v>
      </c>
      <c r="E132" s="303" t="s">
        <v>29</v>
      </c>
      <c r="F132" s="152" t="s">
        <v>422</v>
      </c>
      <c r="G132" s="152" t="s">
        <v>423</v>
      </c>
      <c r="H132" s="205" t="s">
        <v>3</v>
      </c>
      <c r="I132" s="162" t="s">
        <v>29</v>
      </c>
      <c r="J132" s="152" t="s">
        <v>422</v>
      </c>
      <c r="K132" s="152" t="s">
        <v>423</v>
      </c>
      <c r="L132" s="244" t="s">
        <v>3</v>
      </c>
      <c r="M132" s="162" t="s">
        <v>29</v>
      </c>
      <c r="N132" s="148"/>
    </row>
    <row r="133" spans="1:14" s="3" customFormat="1" x14ac:dyDescent="0.2">
      <c r="A133" s="666"/>
      <c r="B133" s="156"/>
      <c r="C133" s="156"/>
      <c r="D133" s="244" t="s">
        <v>4</v>
      </c>
      <c r="E133" s="156" t="s">
        <v>30</v>
      </c>
      <c r="F133" s="161"/>
      <c r="G133" s="161"/>
      <c r="H133" s="205" t="s">
        <v>4</v>
      </c>
      <c r="I133" s="156" t="s">
        <v>30</v>
      </c>
      <c r="J133" s="156"/>
      <c r="K133" s="156"/>
      <c r="L133" s="150" t="s">
        <v>4</v>
      </c>
      <c r="M133" s="156" t="s">
        <v>30</v>
      </c>
      <c r="N133" s="148"/>
    </row>
    <row r="134" spans="1:14" s="3" customFormat="1" ht="15.75" x14ac:dyDescent="0.2">
      <c r="A134" s="14" t="s">
        <v>395</v>
      </c>
      <c r="B134" s="234"/>
      <c r="C134" s="307"/>
      <c r="D134" s="347"/>
      <c r="E134" s="11"/>
      <c r="F134" s="314"/>
      <c r="G134" s="315"/>
      <c r="H134" s="374"/>
      <c r="I134" s="24"/>
      <c r="J134" s="316"/>
      <c r="K134" s="316"/>
      <c r="L134" s="370"/>
      <c r="M134" s="11"/>
      <c r="N134" s="148"/>
    </row>
    <row r="135" spans="1:14" s="3" customFormat="1" ht="15.75" x14ac:dyDescent="0.2">
      <c r="A135" s="13" t="s">
        <v>400</v>
      </c>
      <c r="B135" s="234"/>
      <c r="C135" s="307"/>
      <c r="D135" s="171"/>
      <c r="E135" s="11"/>
      <c r="F135" s="234"/>
      <c r="G135" s="307"/>
      <c r="H135" s="375"/>
      <c r="I135" s="24"/>
      <c r="J135" s="306"/>
      <c r="K135" s="306"/>
      <c r="L135" s="371"/>
      <c r="M135" s="11"/>
      <c r="N135" s="148"/>
    </row>
    <row r="136" spans="1:14" s="3" customFormat="1" ht="15.75" x14ac:dyDescent="0.2">
      <c r="A136" s="13" t="s">
        <v>397</v>
      </c>
      <c r="B136" s="234"/>
      <c r="C136" s="307"/>
      <c r="D136" s="171"/>
      <c r="E136" s="11"/>
      <c r="F136" s="234"/>
      <c r="G136" s="307"/>
      <c r="H136" s="375"/>
      <c r="I136" s="24"/>
      <c r="J136" s="306"/>
      <c r="K136" s="306"/>
      <c r="L136" s="371"/>
      <c r="M136" s="11"/>
      <c r="N136" s="148"/>
    </row>
    <row r="137" spans="1:14" s="3" customFormat="1" ht="15.75" x14ac:dyDescent="0.2">
      <c r="A137" s="41" t="s">
        <v>398</v>
      </c>
      <c r="B137" s="274"/>
      <c r="C137" s="313"/>
      <c r="D137" s="169"/>
      <c r="E137" s="9"/>
      <c r="F137" s="274"/>
      <c r="G137" s="313"/>
      <c r="H137" s="376"/>
      <c r="I137" s="36"/>
      <c r="J137" s="312"/>
      <c r="K137" s="312"/>
      <c r="L137" s="372"/>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104" priority="132">
      <formula>kvartal &lt; 4</formula>
    </cfRule>
  </conditionalFormatting>
  <conditionalFormatting sqref="B69">
    <cfRule type="expression" dxfId="1103" priority="100">
      <formula>kvartal &lt; 4</formula>
    </cfRule>
  </conditionalFormatting>
  <conditionalFormatting sqref="C69">
    <cfRule type="expression" dxfId="1102" priority="99">
      <formula>kvartal &lt; 4</formula>
    </cfRule>
  </conditionalFormatting>
  <conditionalFormatting sqref="B72">
    <cfRule type="expression" dxfId="1101" priority="98">
      <formula>kvartal &lt; 4</formula>
    </cfRule>
  </conditionalFormatting>
  <conditionalFormatting sqref="C72">
    <cfRule type="expression" dxfId="1100" priority="97">
      <formula>kvartal &lt; 4</formula>
    </cfRule>
  </conditionalFormatting>
  <conditionalFormatting sqref="B80">
    <cfRule type="expression" dxfId="1099" priority="96">
      <formula>kvartal &lt; 4</formula>
    </cfRule>
  </conditionalFormatting>
  <conditionalFormatting sqref="C80">
    <cfRule type="expression" dxfId="1098" priority="95">
      <formula>kvartal &lt; 4</formula>
    </cfRule>
  </conditionalFormatting>
  <conditionalFormatting sqref="B83">
    <cfRule type="expression" dxfId="1097" priority="94">
      <formula>kvartal &lt; 4</formula>
    </cfRule>
  </conditionalFormatting>
  <conditionalFormatting sqref="C83">
    <cfRule type="expression" dxfId="1096" priority="93">
      <formula>kvartal &lt; 4</formula>
    </cfRule>
  </conditionalFormatting>
  <conditionalFormatting sqref="B90">
    <cfRule type="expression" dxfId="1095" priority="84">
      <formula>kvartal &lt; 4</formula>
    </cfRule>
  </conditionalFormatting>
  <conditionalFormatting sqref="C90">
    <cfRule type="expression" dxfId="1094" priority="83">
      <formula>kvartal &lt; 4</formula>
    </cfRule>
  </conditionalFormatting>
  <conditionalFormatting sqref="B93">
    <cfRule type="expression" dxfId="1093" priority="82">
      <formula>kvartal &lt; 4</formula>
    </cfRule>
  </conditionalFormatting>
  <conditionalFormatting sqref="C93">
    <cfRule type="expression" dxfId="1092" priority="81">
      <formula>kvartal &lt; 4</formula>
    </cfRule>
  </conditionalFormatting>
  <conditionalFormatting sqref="B101">
    <cfRule type="expression" dxfId="1091" priority="80">
      <formula>kvartal &lt; 4</formula>
    </cfRule>
  </conditionalFormatting>
  <conditionalFormatting sqref="C101">
    <cfRule type="expression" dxfId="1090" priority="79">
      <formula>kvartal &lt; 4</formula>
    </cfRule>
  </conditionalFormatting>
  <conditionalFormatting sqref="B104">
    <cfRule type="expression" dxfId="1089" priority="78">
      <formula>kvartal &lt; 4</formula>
    </cfRule>
  </conditionalFormatting>
  <conditionalFormatting sqref="C104">
    <cfRule type="expression" dxfId="1088" priority="77">
      <formula>kvartal &lt; 4</formula>
    </cfRule>
  </conditionalFormatting>
  <conditionalFormatting sqref="B115">
    <cfRule type="expression" dxfId="1087" priority="76">
      <formula>kvartal &lt; 4</formula>
    </cfRule>
  </conditionalFormatting>
  <conditionalFormatting sqref="C115">
    <cfRule type="expression" dxfId="1086" priority="75">
      <formula>kvartal &lt; 4</formula>
    </cfRule>
  </conditionalFormatting>
  <conditionalFormatting sqref="B123">
    <cfRule type="expression" dxfId="1085" priority="74">
      <formula>kvartal &lt; 4</formula>
    </cfRule>
  </conditionalFormatting>
  <conditionalFormatting sqref="C123">
    <cfRule type="expression" dxfId="1084" priority="73">
      <formula>kvartal &lt; 4</formula>
    </cfRule>
  </conditionalFormatting>
  <conditionalFormatting sqref="F70">
    <cfRule type="expression" dxfId="1083" priority="72">
      <formula>kvartal &lt; 4</formula>
    </cfRule>
  </conditionalFormatting>
  <conditionalFormatting sqref="G70">
    <cfRule type="expression" dxfId="1082" priority="71">
      <formula>kvartal &lt; 4</formula>
    </cfRule>
  </conditionalFormatting>
  <conditionalFormatting sqref="F71:G71">
    <cfRule type="expression" dxfId="1081" priority="70">
      <formula>kvartal &lt; 4</formula>
    </cfRule>
  </conditionalFormatting>
  <conditionalFormatting sqref="F73:G74">
    <cfRule type="expression" dxfId="1080" priority="69">
      <formula>kvartal &lt; 4</formula>
    </cfRule>
  </conditionalFormatting>
  <conditionalFormatting sqref="F81:G82">
    <cfRule type="expression" dxfId="1079" priority="68">
      <formula>kvartal &lt; 4</formula>
    </cfRule>
  </conditionalFormatting>
  <conditionalFormatting sqref="F84:G85">
    <cfRule type="expression" dxfId="1078" priority="67">
      <formula>kvartal &lt; 4</formula>
    </cfRule>
  </conditionalFormatting>
  <conditionalFormatting sqref="F91:G92">
    <cfRule type="expression" dxfId="1077" priority="62">
      <formula>kvartal &lt; 4</formula>
    </cfRule>
  </conditionalFormatting>
  <conditionalFormatting sqref="F94:G95">
    <cfRule type="expression" dxfId="1076" priority="61">
      <formula>kvartal &lt; 4</formula>
    </cfRule>
  </conditionalFormatting>
  <conditionalFormatting sqref="F102:G103">
    <cfRule type="expression" dxfId="1075" priority="60">
      <formula>kvartal &lt; 4</formula>
    </cfRule>
  </conditionalFormatting>
  <conditionalFormatting sqref="F105:G106">
    <cfRule type="expression" dxfId="1074" priority="59">
      <formula>kvartal &lt; 4</formula>
    </cfRule>
  </conditionalFormatting>
  <conditionalFormatting sqref="F115">
    <cfRule type="expression" dxfId="1073" priority="58">
      <formula>kvartal &lt; 4</formula>
    </cfRule>
  </conditionalFormatting>
  <conditionalFormatting sqref="G115">
    <cfRule type="expression" dxfId="1072" priority="57">
      <formula>kvartal &lt; 4</formula>
    </cfRule>
  </conditionalFormatting>
  <conditionalFormatting sqref="F123:G123">
    <cfRule type="expression" dxfId="1071" priority="56">
      <formula>kvartal &lt; 4</formula>
    </cfRule>
  </conditionalFormatting>
  <conditionalFormatting sqref="F69:G69">
    <cfRule type="expression" dxfId="1070" priority="55">
      <formula>kvartal &lt; 4</formula>
    </cfRule>
  </conditionalFormatting>
  <conditionalFormatting sqref="F72:G72">
    <cfRule type="expression" dxfId="1069" priority="54">
      <formula>kvartal &lt; 4</formula>
    </cfRule>
  </conditionalFormatting>
  <conditionalFormatting sqref="F80:G80">
    <cfRule type="expression" dxfId="1068" priority="53">
      <formula>kvartal &lt; 4</formula>
    </cfRule>
  </conditionalFormatting>
  <conditionalFormatting sqref="F83:G83">
    <cfRule type="expression" dxfId="1067" priority="52">
      <formula>kvartal &lt; 4</formula>
    </cfRule>
  </conditionalFormatting>
  <conditionalFormatting sqref="F90:G90">
    <cfRule type="expression" dxfId="1066" priority="46">
      <formula>kvartal &lt; 4</formula>
    </cfRule>
  </conditionalFormatting>
  <conditionalFormatting sqref="F93">
    <cfRule type="expression" dxfId="1065" priority="45">
      <formula>kvartal &lt; 4</formula>
    </cfRule>
  </conditionalFormatting>
  <conditionalFormatting sqref="G93">
    <cfRule type="expression" dxfId="1064" priority="44">
      <formula>kvartal &lt; 4</formula>
    </cfRule>
  </conditionalFormatting>
  <conditionalFormatting sqref="F101">
    <cfRule type="expression" dxfId="1063" priority="43">
      <formula>kvartal &lt; 4</formula>
    </cfRule>
  </conditionalFormatting>
  <conditionalFormatting sqref="G101">
    <cfRule type="expression" dxfId="1062" priority="42">
      <formula>kvartal &lt; 4</formula>
    </cfRule>
  </conditionalFormatting>
  <conditionalFormatting sqref="G104">
    <cfRule type="expression" dxfId="1061" priority="41">
      <formula>kvartal &lt; 4</formula>
    </cfRule>
  </conditionalFormatting>
  <conditionalFormatting sqref="F104">
    <cfRule type="expression" dxfId="1060" priority="40">
      <formula>kvartal &lt; 4</formula>
    </cfRule>
  </conditionalFormatting>
  <conditionalFormatting sqref="J69:K73">
    <cfRule type="expression" dxfId="1059" priority="39">
      <formula>kvartal &lt; 4</formula>
    </cfRule>
  </conditionalFormatting>
  <conditionalFormatting sqref="J74:K74">
    <cfRule type="expression" dxfId="1058" priority="38">
      <formula>kvartal &lt; 4</formula>
    </cfRule>
  </conditionalFormatting>
  <conditionalFormatting sqref="J80:K85">
    <cfRule type="expression" dxfId="1057" priority="37">
      <formula>kvartal &lt; 4</formula>
    </cfRule>
  </conditionalFormatting>
  <conditionalFormatting sqref="J90:K95">
    <cfRule type="expression" dxfId="1056" priority="34">
      <formula>kvartal &lt; 4</formula>
    </cfRule>
  </conditionalFormatting>
  <conditionalFormatting sqref="J101:K106">
    <cfRule type="expression" dxfId="1055" priority="33">
      <formula>kvartal &lt; 4</formula>
    </cfRule>
  </conditionalFormatting>
  <conditionalFormatting sqref="J115:K115">
    <cfRule type="expression" dxfId="1054" priority="32">
      <formula>kvartal &lt; 4</formula>
    </cfRule>
  </conditionalFormatting>
  <conditionalFormatting sqref="J123:K123">
    <cfRule type="expression" dxfId="1053" priority="31">
      <formula>kvartal &lt; 4</formula>
    </cfRule>
  </conditionalFormatting>
  <conditionalFormatting sqref="A50:A52">
    <cfRule type="expression" dxfId="1052" priority="12">
      <formula>kvartal &lt; 4</formula>
    </cfRule>
  </conditionalFormatting>
  <conditionalFormatting sqref="A69:A74">
    <cfRule type="expression" dxfId="1051" priority="10">
      <formula>kvartal &lt; 4</formula>
    </cfRule>
  </conditionalFormatting>
  <conditionalFormatting sqref="A80:A85">
    <cfRule type="expression" dxfId="1050" priority="9">
      <formula>kvartal &lt; 4</formula>
    </cfRule>
  </conditionalFormatting>
  <conditionalFormatting sqref="A90:A95">
    <cfRule type="expression" dxfId="1049" priority="6">
      <formula>kvartal &lt; 4</formula>
    </cfRule>
  </conditionalFormatting>
  <conditionalFormatting sqref="A101:A106">
    <cfRule type="expression" dxfId="1048" priority="5">
      <formula>kvartal &lt; 4</formula>
    </cfRule>
  </conditionalFormatting>
  <conditionalFormatting sqref="A115">
    <cfRule type="expression" dxfId="1047" priority="4">
      <formula>kvartal &lt; 4</formula>
    </cfRule>
  </conditionalFormatting>
  <conditionalFormatting sqref="A123">
    <cfRule type="expression" dxfId="1046" priority="3">
      <formula>kvartal &lt; 4</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64"/>
      <c r="C1" s="246" t="s">
        <v>135</v>
      </c>
      <c r="D1" s="26"/>
      <c r="E1" s="26"/>
      <c r="F1" s="26"/>
      <c r="G1" s="26"/>
      <c r="H1" s="26"/>
      <c r="I1" s="26"/>
      <c r="J1" s="26"/>
      <c r="K1" s="26"/>
      <c r="L1" s="26"/>
      <c r="M1" s="26"/>
    </row>
    <row r="2" spans="1:14" ht="15.75" x14ac:dyDescent="0.25">
      <c r="A2" s="165" t="s">
        <v>28</v>
      </c>
      <c r="B2" s="700"/>
      <c r="C2" s="700"/>
      <c r="D2" s="700"/>
      <c r="E2" s="297"/>
      <c r="F2" s="700"/>
      <c r="G2" s="700"/>
      <c r="H2" s="700"/>
      <c r="I2" s="297"/>
      <c r="J2" s="700"/>
      <c r="K2" s="700"/>
      <c r="L2" s="700"/>
      <c r="M2" s="297"/>
    </row>
    <row r="3" spans="1:14" ht="15.75" x14ac:dyDescent="0.25">
      <c r="A3" s="163"/>
      <c r="B3" s="297"/>
      <c r="C3" s="297"/>
      <c r="D3" s="297"/>
      <c r="E3" s="297"/>
      <c r="F3" s="297"/>
      <c r="G3" s="297"/>
      <c r="H3" s="297"/>
      <c r="I3" s="297"/>
      <c r="J3" s="297"/>
      <c r="K3" s="297"/>
      <c r="L3" s="297"/>
      <c r="M3" s="297"/>
    </row>
    <row r="4" spans="1:14" x14ac:dyDescent="0.2">
      <c r="A4" s="144"/>
      <c r="B4" s="696" t="s">
        <v>0</v>
      </c>
      <c r="C4" s="697"/>
      <c r="D4" s="697"/>
      <c r="E4" s="299"/>
      <c r="F4" s="696" t="s">
        <v>1</v>
      </c>
      <c r="G4" s="697"/>
      <c r="H4" s="697"/>
      <c r="I4" s="302"/>
      <c r="J4" s="696" t="s">
        <v>2</v>
      </c>
      <c r="K4" s="697"/>
      <c r="L4" s="697"/>
      <c r="M4" s="302"/>
    </row>
    <row r="5" spans="1:14" x14ac:dyDescent="0.2">
      <c r="A5" s="158"/>
      <c r="B5" s="152" t="s">
        <v>422</v>
      </c>
      <c r="C5" s="152" t="s">
        <v>423</v>
      </c>
      <c r="D5" s="243" t="s">
        <v>3</v>
      </c>
      <c r="E5" s="303" t="s">
        <v>29</v>
      </c>
      <c r="F5" s="152" t="s">
        <v>422</v>
      </c>
      <c r="G5" s="152" t="s">
        <v>423</v>
      </c>
      <c r="H5" s="243" t="s">
        <v>3</v>
      </c>
      <c r="I5" s="162" t="s">
        <v>29</v>
      </c>
      <c r="J5" s="152" t="s">
        <v>422</v>
      </c>
      <c r="K5" s="152" t="s">
        <v>423</v>
      </c>
      <c r="L5" s="243" t="s">
        <v>3</v>
      </c>
      <c r="M5" s="162" t="s">
        <v>29</v>
      </c>
    </row>
    <row r="6" spans="1:14" x14ac:dyDescent="0.2">
      <c r="A6" s="665"/>
      <c r="B6" s="156"/>
      <c r="C6" s="156"/>
      <c r="D6" s="244" t="s">
        <v>4</v>
      </c>
      <c r="E6" s="156" t="s">
        <v>30</v>
      </c>
      <c r="F6" s="161"/>
      <c r="G6" s="161"/>
      <c r="H6" s="243" t="s">
        <v>4</v>
      </c>
      <c r="I6" s="156" t="s">
        <v>30</v>
      </c>
      <c r="J6" s="161"/>
      <c r="K6" s="161"/>
      <c r="L6" s="243" t="s">
        <v>4</v>
      </c>
      <c r="M6" s="156" t="s">
        <v>30</v>
      </c>
    </row>
    <row r="7" spans="1:14" ht="15.75" x14ac:dyDescent="0.2">
      <c r="A7" s="14" t="s">
        <v>23</v>
      </c>
      <c r="B7" s="304">
        <v>171138.641</v>
      </c>
      <c r="C7" s="305">
        <v>182104.38800000001</v>
      </c>
      <c r="D7" s="347">
        <f>IF(B7=0, "    ---- ", IF(ABS(ROUND(100/B7*C7-100,1))&lt;999,ROUND(100/B7*C7-100,1),IF(ROUND(100/B7*C7-100,1)&gt;999,999,-999)))</f>
        <v>6.4</v>
      </c>
      <c r="E7" s="11">
        <f>IFERROR(100/'Skjema total MA'!C7*C7,0)</f>
        <v>6.8573626571564921</v>
      </c>
      <c r="F7" s="304"/>
      <c r="G7" s="305"/>
      <c r="H7" s="347"/>
      <c r="I7" s="160"/>
      <c r="J7" s="306">
        <f t="shared" ref="J7:K9" si="0">SUM(B7,F7)</f>
        <v>171138.641</v>
      </c>
      <c r="K7" s="307">
        <f t="shared" si="0"/>
        <v>182104.38800000001</v>
      </c>
      <c r="L7" s="370">
        <f>IF(J7=0, "    ---- ", IF(ABS(ROUND(100/J7*K7-100,1))&lt;999,ROUND(100/J7*K7-100,1),IF(ROUND(100/J7*K7-100,1)&gt;999,999,-999)))</f>
        <v>6.4</v>
      </c>
      <c r="M7" s="11">
        <f>IFERROR(100/'Skjema total MA'!I7*K7,0)</f>
        <v>2.370257614221698</v>
      </c>
    </row>
    <row r="8" spans="1:14" ht="15.75" x14ac:dyDescent="0.2">
      <c r="A8" s="21" t="s">
        <v>25</v>
      </c>
      <c r="B8" s="279">
        <v>110171.121</v>
      </c>
      <c r="C8" s="280">
        <v>119985.22199999999</v>
      </c>
      <c r="D8" s="166">
        <f t="shared" ref="D8:D9" si="1">IF(B8=0, "    ---- ", IF(ABS(ROUND(100/B8*C8-100,1))&lt;999,ROUND(100/B8*C8-100,1),IF(ROUND(100/B8*C8-100,1)&gt;999,999,-999)))</f>
        <v>8.9</v>
      </c>
      <c r="E8" s="27">
        <f>IFERROR(100/'Skjema total MA'!C8*C8,0)</f>
        <v>7.5125014820213227</v>
      </c>
      <c r="F8" s="283"/>
      <c r="G8" s="284"/>
      <c r="H8" s="166"/>
      <c r="I8" s="175"/>
      <c r="J8" s="232">
        <f t="shared" si="0"/>
        <v>110171.121</v>
      </c>
      <c r="K8" s="285">
        <f t="shared" si="0"/>
        <v>119985.22199999999</v>
      </c>
      <c r="L8" s="166">
        <f t="shared" ref="L8:L9" si="2">IF(J8=0, "    ---- ", IF(ABS(ROUND(100/J8*K8-100,1))&lt;999,ROUND(100/J8*K8-100,1),IF(ROUND(100/J8*K8-100,1)&gt;999,999,-999)))</f>
        <v>8.9</v>
      </c>
      <c r="M8" s="27">
        <f>IFERROR(100/'Skjema total MA'!I8*K8,0)</f>
        <v>7.5125014820213227</v>
      </c>
    </row>
    <row r="9" spans="1:14" ht="15.75" x14ac:dyDescent="0.2">
      <c r="A9" s="21" t="s">
        <v>24</v>
      </c>
      <c r="B9" s="279">
        <v>60967.519999999997</v>
      </c>
      <c r="C9" s="280">
        <v>62119.165999999997</v>
      </c>
      <c r="D9" s="166">
        <f t="shared" si="1"/>
        <v>1.9</v>
      </c>
      <c r="E9" s="27">
        <f>IFERROR(100/'Skjema total MA'!C9*C9,0)</f>
        <v>10.668627694119751</v>
      </c>
      <c r="F9" s="283"/>
      <c r="G9" s="284"/>
      <c r="H9" s="166"/>
      <c r="I9" s="175"/>
      <c r="J9" s="232">
        <f t="shared" si="0"/>
        <v>60967.519999999997</v>
      </c>
      <c r="K9" s="285">
        <f t="shared" si="0"/>
        <v>62119.165999999997</v>
      </c>
      <c r="L9" s="166">
        <f t="shared" si="2"/>
        <v>1.9</v>
      </c>
      <c r="M9" s="27">
        <f>IFERROR(100/'Skjema total MA'!I9*K9,0)</f>
        <v>10.668627694119751</v>
      </c>
    </row>
    <row r="10" spans="1:14" ht="15.75" x14ac:dyDescent="0.2">
      <c r="A10" s="13" t="s">
        <v>371</v>
      </c>
      <c r="B10" s="308"/>
      <c r="C10" s="309"/>
      <c r="D10" s="171"/>
      <c r="E10" s="11"/>
      <c r="F10" s="308"/>
      <c r="G10" s="309"/>
      <c r="H10" s="171"/>
      <c r="I10" s="160"/>
      <c r="J10" s="306"/>
      <c r="K10" s="307"/>
      <c r="L10" s="371"/>
      <c r="M10" s="11"/>
    </row>
    <row r="11" spans="1:14" s="43" customFormat="1" ht="15.75" x14ac:dyDescent="0.2">
      <c r="A11" s="13" t="s">
        <v>372</v>
      </c>
      <c r="B11" s="308"/>
      <c r="C11" s="309"/>
      <c r="D11" s="171"/>
      <c r="E11" s="11"/>
      <c r="F11" s="308"/>
      <c r="G11" s="309"/>
      <c r="H11" s="171"/>
      <c r="I11" s="160"/>
      <c r="J11" s="306"/>
      <c r="K11" s="307"/>
      <c r="L11" s="371"/>
      <c r="M11" s="11"/>
      <c r="N11" s="143"/>
    </row>
    <row r="12" spans="1:14" s="43" customFormat="1" ht="15.75" x14ac:dyDescent="0.2">
      <c r="A12" s="41" t="s">
        <v>373</v>
      </c>
      <c r="B12" s="310"/>
      <c r="C12" s="311"/>
      <c r="D12" s="169"/>
      <c r="E12" s="36"/>
      <c r="F12" s="310"/>
      <c r="G12" s="311"/>
      <c r="H12" s="169"/>
      <c r="I12" s="169"/>
      <c r="J12" s="312"/>
      <c r="K12" s="313"/>
      <c r="L12" s="372"/>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95"/>
      <c r="C18" s="695"/>
      <c r="D18" s="695"/>
      <c r="E18" s="297"/>
      <c r="F18" s="695"/>
      <c r="G18" s="695"/>
      <c r="H18" s="695"/>
      <c r="I18" s="297"/>
      <c r="J18" s="695"/>
      <c r="K18" s="695"/>
      <c r="L18" s="695"/>
      <c r="M18" s="297"/>
    </row>
    <row r="19" spans="1:14" x14ac:dyDescent="0.2">
      <c r="A19" s="144"/>
      <c r="B19" s="696" t="s">
        <v>0</v>
      </c>
      <c r="C19" s="697"/>
      <c r="D19" s="697"/>
      <c r="E19" s="299"/>
      <c r="F19" s="696" t="s">
        <v>1</v>
      </c>
      <c r="G19" s="697"/>
      <c r="H19" s="697"/>
      <c r="I19" s="302"/>
      <c r="J19" s="696" t="s">
        <v>2</v>
      </c>
      <c r="K19" s="697"/>
      <c r="L19" s="697"/>
      <c r="M19" s="302"/>
    </row>
    <row r="20" spans="1:14" x14ac:dyDescent="0.2">
      <c r="A20" s="140" t="s">
        <v>5</v>
      </c>
      <c r="B20" s="152" t="s">
        <v>422</v>
      </c>
      <c r="C20" s="152" t="s">
        <v>423</v>
      </c>
      <c r="D20" s="162" t="s">
        <v>3</v>
      </c>
      <c r="E20" s="303" t="s">
        <v>29</v>
      </c>
      <c r="F20" s="152" t="s">
        <v>422</v>
      </c>
      <c r="G20" s="152" t="s">
        <v>423</v>
      </c>
      <c r="H20" s="162" t="s">
        <v>3</v>
      </c>
      <c r="I20" s="162" t="s">
        <v>29</v>
      </c>
      <c r="J20" s="152" t="s">
        <v>422</v>
      </c>
      <c r="K20" s="152" t="s">
        <v>423</v>
      </c>
      <c r="L20" s="162" t="s">
        <v>3</v>
      </c>
      <c r="M20" s="162" t="s">
        <v>29</v>
      </c>
    </row>
    <row r="21" spans="1:14" x14ac:dyDescent="0.2">
      <c r="A21" s="666"/>
      <c r="B21" s="156"/>
      <c r="C21" s="156"/>
      <c r="D21" s="244" t="s">
        <v>4</v>
      </c>
      <c r="E21" s="156" t="s">
        <v>30</v>
      </c>
      <c r="F21" s="161"/>
      <c r="G21" s="161"/>
      <c r="H21" s="243" t="s">
        <v>4</v>
      </c>
      <c r="I21" s="156" t="s">
        <v>30</v>
      </c>
      <c r="J21" s="161"/>
      <c r="K21" s="161"/>
      <c r="L21" s="156" t="s">
        <v>4</v>
      </c>
      <c r="M21" s="156" t="s">
        <v>30</v>
      </c>
    </row>
    <row r="22" spans="1:14" ht="15.75" x14ac:dyDescent="0.2">
      <c r="A22" s="14" t="s">
        <v>23</v>
      </c>
      <c r="B22" s="308"/>
      <c r="C22" s="308"/>
      <c r="D22" s="347"/>
      <c r="E22" s="11"/>
      <c r="F22" s="316"/>
      <c r="G22" s="316"/>
      <c r="H22" s="347"/>
      <c r="I22" s="11"/>
      <c r="J22" s="314"/>
      <c r="K22" s="314"/>
      <c r="L22" s="370"/>
      <c r="M22" s="24"/>
    </row>
    <row r="23" spans="1:14" ht="15.75" x14ac:dyDescent="0.2">
      <c r="A23" s="551" t="s">
        <v>374</v>
      </c>
      <c r="B23" s="279"/>
      <c r="C23" s="279"/>
      <c r="D23" s="166"/>
      <c r="E23" s="11"/>
      <c r="F23" s="288"/>
      <c r="G23" s="288"/>
      <c r="H23" s="166"/>
      <c r="I23" s="363"/>
      <c r="J23" s="288"/>
      <c r="K23" s="288"/>
      <c r="L23" s="166"/>
      <c r="M23" s="23"/>
    </row>
    <row r="24" spans="1:14" ht="15.75" x14ac:dyDescent="0.2">
      <c r="A24" s="551" t="s">
        <v>375</v>
      </c>
      <c r="B24" s="279"/>
      <c r="C24" s="279"/>
      <c r="D24" s="166"/>
      <c r="E24" s="11"/>
      <c r="F24" s="288"/>
      <c r="G24" s="288"/>
      <c r="H24" s="166"/>
      <c r="I24" s="363"/>
      <c r="J24" s="288"/>
      <c r="K24" s="288"/>
      <c r="L24" s="166"/>
      <c r="M24" s="23"/>
    </row>
    <row r="25" spans="1:14" ht="15.75" x14ac:dyDescent="0.2">
      <c r="A25" s="551" t="s">
        <v>376</v>
      </c>
      <c r="B25" s="279"/>
      <c r="C25" s="279"/>
      <c r="D25" s="166"/>
      <c r="E25" s="11"/>
      <c r="F25" s="288"/>
      <c r="G25" s="288"/>
      <c r="H25" s="166"/>
      <c r="I25" s="363"/>
      <c r="J25" s="288"/>
      <c r="K25" s="288"/>
      <c r="L25" s="166"/>
      <c r="M25" s="23"/>
    </row>
    <row r="26" spans="1:14" ht="15.75" x14ac:dyDescent="0.2">
      <c r="A26" s="551" t="s">
        <v>377</v>
      </c>
      <c r="B26" s="279"/>
      <c r="C26" s="279"/>
      <c r="D26" s="166"/>
      <c r="E26" s="11"/>
      <c r="F26" s="288"/>
      <c r="G26" s="288"/>
      <c r="H26" s="166"/>
      <c r="I26" s="363"/>
      <c r="J26" s="288"/>
      <c r="K26" s="288"/>
      <c r="L26" s="166"/>
      <c r="M26" s="23"/>
    </row>
    <row r="27" spans="1:14" x14ac:dyDescent="0.2">
      <c r="A27" s="551" t="s">
        <v>11</v>
      </c>
      <c r="B27" s="279"/>
      <c r="C27" s="279"/>
      <c r="D27" s="166"/>
      <c r="E27" s="11"/>
      <c r="F27" s="288"/>
      <c r="G27" s="288"/>
      <c r="H27" s="166"/>
      <c r="I27" s="363"/>
      <c r="J27" s="288"/>
      <c r="K27" s="288"/>
      <c r="L27" s="166"/>
      <c r="M27" s="23"/>
    </row>
    <row r="28" spans="1:14" ht="15.75" x14ac:dyDescent="0.2">
      <c r="A28" s="49" t="s">
        <v>282</v>
      </c>
      <c r="B28" s="44">
        <v>67387.697</v>
      </c>
      <c r="C28" s="285">
        <v>78369.207999999897</v>
      </c>
      <c r="D28" s="166">
        <f t="shared" ref="D28" si="3">IF(B28=0, "    ---- ", IF(ABS(ROUND(100/B28*C28-100,1))&lt;999,ROUND(100/B28*C28-100,1),IF(ROUND(100/B28*C28-100,1)&gt;999,999,-999)))</f>
        <v>16.3</v>
      </c>
      <c r="E28" s="11">
        <f>IFERROR(100/'Skjema total MA'!C28*C28,0)</f>
        <v>7.4906284477175173</v>
      </c>
      <c r="F28" s="232"/>
      <c r="G28" s="285"/>
      <c r="H28" s="166"/>
      <c r="I28" s="27"/>
      <c r="J28" s="44">
        <f t="shared" ref="J28:K28" si="4">SUM(B28,F28)</f>
        <v>67387.697</v>
      </c>
      <c r="K28" s="44">
        <f t="shared" si="4"/>
        <v>78369.207999999897</v>
      </c>
      <c r="L28" s="252">
        <f t="shared" ref="L28" si="5">IF(J28=0, "    ---- ", IF(ABS(ROUND(100/J28*K28-100,1))&lt;999,ROUND(100/J28*K28-100,1),IF(ROUND(100/J28*K28-100,1)&gt;999,999,-999)))</f>
        <v>16.3</v>
      </c>
      <c r="M28" s="23">
        <f>IFERROR(100/'Skjema total MA'!I28*K28,0)</f>
        <v>7.4906284477175173</v>
      </c>
    </row>
    <row r="29" spans="1:14" s="3" customFormat="1" ht="15.75" x14ac:dyDescent="0.2">
      <c r="A29" s="13" t="s">
        <v>371</v>
      </c>
      <c r="B29" s="234"/>
      <c r="C29" s="234"/>
      <c r="D29" s="171"/>
      <c r="E29" s="11"/>
      <c r="F29" s="306"/>
      <c r="G29" s="306"/>
      <c r="H29" s="171"/>
      <c r="I29" s="11"/>
      <c r="J29" s="234"/>
      <c r="K29" s="234"/>
      <c r="L29" s="371"/>
      <c r="M29" s="24"/>
      <c r="N29" s="148"/>
    </row>
    <row r="30" spans="1:14" s="3" customFormat="1" ht="15.75" x14ac:dyDescent="0.2">
      <c r="A30" s="551" t="s">
        <v>374</v>
      </c>
      <c r="B30" s="279"/>
      <c r="C30" s="279"/>
      <c r="D30" s="166"/>
      <c r="E30" s="11"/>
      <c r="F30" s="288"/>
      <c r="G30" s="288"/>
      <c r="H30" s="166"/>
      <c r="I30" s="363"/>
      <c r="J30" s="288"/>
      <c r="K30" s="288"/>
      <c r="L30" s="166"/>
      <c r="M30" s="23"/>
      <c r="N30" s="148"/>
    </row>
    <row r="31" spans="1:14" s="3" customFormat="1" ht="15.75" x14ac:dyDescent="0.2">
      <c r="A31" s="551" t="s">
        <v>375</v>
      </c>
      <c r="B31" s="279"/>
      <c r="C31" s="279"/>
      <c r="D31" s="166"/>
      <c r="E31" s="11"/>
      <c r="F31" s="288"/>
      <c r="G31" s="288"/>
      <c r="H31" s="166"/>
      <c r="I31" s="363"/>
      <c r="J31" s="288"/>
      <c r="K31" s="288"/>
      <c r="L31" s="166"/>
      <c r="M31" s="23"/>
      <c r="N31" s="148"/>
    </row>
    <row r="32" spans="1:14" ht="15.75" x14ac:dyDescent="0.2">
      <c r="A32" s="551" t="s">
        <v>376</v>
      </c>
      <c r="B32" s="279"/>
      <c r="C32" s="279"/>
      <c r="D32" s="166"/>
      <c r="E32" s="11"/>
      <c r="F32" s="288"/>
      <c r="G32" s="288"/>
      <c r="H32" s="166"/>
      <c r="I32" s="363"/>
      <c r="J32" s="288"/>
      <c r="K32" s="288"/>
      <c r="L32" s="166"/>
      <c r="M32" s="23"/>
    </row>
    <row r="33" spans="1:14" ht="15.75" x14ac:dyDescent="0.2">
      <c r="A33" s="551" t="s">
        <v>377</v>
      </c>
      <c r="B33" s="279"/>
      <c r="C33" s="279"/>
      <c r="D33" s="166"/>
      <c r="E33" s="11"/>
      <c r="F33" s="288"/>
      <c r="G33" s="288"/>
      <c r="H33" s="166"/>
      <c r="I33" s="363"/>
      <c r="J33" s="288"/>
      <c r="K33" s="288"/>
      <c r="L33" s="166"/>
      <c r="M33" s="23"/>
    </row>
    <row r="34" spans="1:14" ht="15.75" x14ac:dyDescent="0.2">
      <c r="A34" s="13" t="s">
        <v>372</v>
      </c>
      <c r="B34" s="234"/>
      <c r="C34" s="307"/>
      <c r="D34" s="171"/>
      <c r="E34" s="11"/>
      <c r="F34" s="306"/>
      <c r="G34" s="307"/>
      <c r="H34" s="171"/>
      <c r="I34" s="11"/>
      <c r="J34" s="234"/>
      <c r="K34" s="234"/>
      <c r="L34" s="371"/>
      <c r="M34" s="24"/>
    </row>
    <row r="35" spans="1:14" ht="15.75" x14ac:dyDescent="0.2">
      <c r="A35" s="13" t="s">
        <v>373</v>
      </c>
      <c r="B35" s="234"/>
      <c r="C35" s="307"/>
      <c r="D35" s="171"/>
      <c r="E35" s="11"/>
      <c r="F35" s="306"/>
      <c r="G35" s="307"/>
      <c r="H35" s="171"/>
      <c r="I35" s="11"/>
      <c r="J35" s="234"/>
      <c r="K35" s="234"/>
      <c r="L35" s="371"/>
      <c r="M35" s="24"/>
    </row>
    <row r="36" spans="1:14" ht="15.75" x14ac:dyDescent="0.2">
      <c r="A36" s="12" t="s">
        <v>290</v>
      </c>
      <c r="B36" s="234"/>
      <c r="C36" s="307"/>
      <c r="D36" s="171"/>
      <c r="E36" s="11"/>
      <c r="F36" s="317"/>
      <c r="G36" s="318"/>
      <c r="H36" s="171"/>
      <c r="I36" s="377"/>
      <c r="J36" s="234"/>
      <c r="K36" s="234"/>
      <c r="L36" s="371"/>
      <c r="M36" s="24"/>
    </row>
    <row r="37" spans="1:14" ht="15.75" x14ac:dyDescent="0.2">
      <c r="A37" s="12" t="s">
        <v>379</v>
      </c>
      <c r="B37" s="234"/>
      <c r="C37" s="307"/>
      <c r="D37" s="171"/>
      <c r="E37" s="11"/>
      <c r="F37" s="317"/>
      <c r="G37" s="319"/>
      <c r="H37" s="171"/>
      <c r="I37" s="377"/>
      <c r="J37" s="234"/>
      <c r="K37" s="234"/>
      <c r="L37" s="371"/>
      <c r="M37" s="24"/>
    </row>
    <row r="38" spans="1:14" ht="15.75" x14ac:dyDescent="0.2">
      <c r="A38" s="12" t="s">
        <v>380</v>
      </c>
      <c r="B38" s="234"/>
      <c r="C38" s="307"/>
      <c r="D38" s="171"/>
      <c r="E38" s="24"/>
      <c r="F38" s="317"/>
      <c r="G38" s="318"/>
      <c r="H38" s="171"/>
      <c r="I38" s="377"/>
      <c r="J38" s="234"/>
      <c r="K38" s="234"/>
      <c r="L38" s="371"/>
      <c r="M38" s="24"/>
    </row>
    <row r="39" spans="1:14" ht="15.75" x14ac:dyDescent="0.2">
      <c r="A39" s="18" t="s">
        <v>381</v>
      </c>
      <c r="B39" s="274"/>
      <c r="C39" s="313"/>
      <c r="D39" s="169"/>
      <c r="E39" s="36"/>
      <c r="F39" s="320"/>
      <c r="G39" s="321"/>
      <c r="H39" s="169"/>
      <c r="I39" s="36"/>
      <c r="J39" s="234"/>
      <c r="K39" s="234"/>
      <c r="L39" s="372"/>
      <c r="M39" s="36"/>
    </row>
    <row r="40" spans="1:14" ht="15.75" x14ac:dyDescent="0.25">
      <c r="A40" s="47"/>
      <c r="B40" s="251"/>
      <c r="C40" s="251"/>
      <c r="D40" s="699"/>
      <c r="E40" s="699"/>
      <c r="F40" s="699"/>
      <c r="G40" s="699"/>
      <c r="H40" s="699"/>
      <c r="I40" s="699"/>
      <c r="J40" s="699"/>
      <c r="K40" s="699"/>
      <c r="L40" s="699"/>
      <c r="M40" s="300"/>
    </row>
    <row r="41" spans="1:14" x14ac:dyDescent="0.2">
      <c r="A41" s="155"/>
    </row>
    <row r="42" spans="1:14" ht="15.75" x14ac:dyDescent="0.25">
      <c r="A42" s="147" t="s">
        <v>279</v>
      </c>
      <c r="B42" s="700"/>
      <c r="C42" s="700"/>
      <c r="D42" s="700"/>
      <c r="E42" s="297"/>
      <c r="F42" s="701"/>
      <c r="G42" s="701"/>
      <c r="H42" s="701"/>
      <c r="I42" s="300"/>
      <c r="J42" s="701"/>
      <c r="K42" s="701"/>
      <c r="L42" s="701"/>
      <c r="M42" s="300"/>
    </row>
    <row r="43" spans="1:14" ht="15.75" x14ac:dyDescent="0.25">
      <c r="A43" s="163"/>
      <c r="B43" s="301"/>
      <c r="C43" s="301"/>
      <c r="D43" s="301"/>
      <c r="E43" s="301"/>
      <c r="F43" s="300"/>
      <c r="G43" s="300"/>
      <c r="H43" s="300"/>
      <c r="I43" s="300"/>
      <c r="J43" s="300"/>
      <c r="K43" s="300"/>
      <c r="L43" s="300"/>
      <c r="M43" s="300"/>
    </row>
    <row r="44" spans="1:14" ht="15.75" x14ac:dyDescent="0.25">
      <c r="A44" s="245"/>
      <c r="B44" s="696" t="s">
        <v>0</v>
      </c>
      <c r="C44" s="697"/>
      <c r="D44" s="697"/>
      <c r="E44" s="241"/>
      <c r="F44" s="300"/>
      <c r="G44" s="300"/>
      <c r="H44" s="300"/>
      <c r="I44" s="300"/>
      <c r="J44" s="300"/>
      <c r="K44" s="300"/>
      <c r="L44" s="300"/>
      <c r="M44" s="300"/>
    </row>
    <row r="45" spans="1:14" s="3" customFormat="1" x14ac:dyDescent="0.2">
      <c r="A45" s="140"/>
      <c r="B45" s="152" t="s">
        <v>422</v>
      </c>
      <c r="C45" s="152" t="s">
        <v>423</v>
      </c>
      <c r="D45" s="162" t="s">
        <v>3</v>
      </c>
      <c r="E45" s="162" t="s">
        <v>29</v>
      </c>
      <c r="F45" s="174"/>
      <c r="G45" s="174"/>
      <c r="H45" s="173"/>
      <c r="I45" s="173"/>
      <c r="J45" s="174"/>
      <c r="K45" s="174"/>
      <c r="L45" s="173"/>
      <c r="M45" s="173"/>
      <c r="N45" s="148"/>
    </row>
    <row r="46" spans="1:14" s="3" customFormat="1" x14ac:dyDescent="0.2">
      <c r="A46" s="666"/>
      <c r="B46" s="242"/>
      <c r="C46" s="242"/>
      <c r="D46" s="243" t="s">
        <v>4</v>
      </c>
      <c r="E46" s="156" t="s">
        <v>30</v>
      </c>
      <c r="F46" s="173"/>
      <c r="G46" s="173"/>
      <c r="H46" s="173"/>
      <c r="I46" s="173"/>
      <c r="J46" s="173"/>
      <c r="K46" s="173"/>
      <c r="L46" s="173"/>
      <c r="M46" s="173"/>
      <c r="N46" s="148"/>
    </row>
    <row r="47" spans="1:14" s="3" customFormat="1" ht="15.75" x14ac:dyDescent="0.2">
      <c r="A47" s="14" t="s">
        <v>23</v>
      </c>
      <c r="B47" s="308">
        <v>102503.46060999999</v>
      </c>
      <c r="C47" s="309">
        <v>96732.433000000005</v>
      </c>
      <c r="D47" s="370">
        <f t="shared" ref="D47:D58" si="6">IF(B47=0, "    ---- ", IF(ABS(ROUND(100/B47*C47-100,1))&lt;999,ROUND(100/B47*C47-100,1),IF(ROUND(100/B47*C47-100,1)&gt;999,999,-999)))</f>
        <v>-5.6</v>
      </c>
      <c r="E47" s="11">
        <f>IFERROR(100/'Skjema total MA'!C47*C47,0)</f>
        <v>2.9961989280998376</v>
      </c>
      <c r="F47" s="145"/>
      <c r="G47" s="33"/>
      <c r="H47" s="159"/>
      <c r="I47" s="159"/>
      <c r="J47" s="37"/>
      <c r="K47" s="37"/>
      <c r="L47" s="159"/>
      <c r="M47" s="159"/>
      <c r="N47" s="148"/>
    </row>
    <row r="48" spans="1:14" s="3" customFormat="1" ht="15.75" x14ac:dyDescent="0.2">
      <c r="A48" s="38" t="s">
        <v>382</v>
      </c>
      <c r="B48" s="279">
        <v>102503.46060999999</v>
      </c>
      <c r="C48" s="280">
        <v>96732.433000000005</v>
      </c>
      <c r="D48" s="252">
        <f t="shared" si="6"/>
        <v>-5.6</v>
      </c>
      <c r="E48" s="27">
        <f>IFERROR(100/'Skjema total MA'!C48*C48,0)</f>
        <v>5.3236899158074085</v>
      </c>
      <c r="F48" s="145"/>
      <c r="G48" s="33"/>
      <c r="H48" s="145"/>
      <c r="I48" s="145"/>
      <c r="J48" s="33"/>
      <c r="K48" s="33"/>
      <c r="L48" s="159"/>
      <c r="M48" s="159"/>
      <c r="N48" s="148"/>
    </row>
    <row r="49" spans="1:14" s="3" customFormat="1" ht="15.75" x14ac:dyDescent="0.2">
      <c r="A49" s="38" t="s">
        <v>383</v>
      </c>
      <c r="B49" s="44"/>
      <c r="C49" s="285"/>
      <c r="D49" s="252"/>
      <c r="E49" s="27"/>
      <c r="F49" s="145"/>
      <c r="G49" s="33"/>
      <c r="H49" s="145"/>
      <c r="I49" s="145"/>
      <c r="J49" s="37"/>
      <c r="K49" s="37"/>
      <c r="L49" s="159"/>
      <c r="M49" s="159"/>
      <c r="N49" s="148"/>
    </row>
    <row r="50" spans="1:14" s="3" customFormat="1" x14ac:dyDescent="0.2">
      <c r="A50" s="294" t="s">
        <v>6</v>
      </c>
      <c r="B50" s="288"/>
      <c r="C50" s="289"/>
      <c r="D50" s="252"/>
      <c r="E50" s="23"/>
      <c r="F50" s="145"/>
      <c r="G50" s="33"/>
      <c r="H50" s="145"/>
      <c r="I50" s="145"/>
      <c r="J50" s="33"/>
      <c r="K50" s="33"/>
      <c r="L50" s="159"/>
      <c r="M50" s="159"/>
      <c r="N50" s="148"/>
    </row>
    <row r="51" spans="1:14" s="3" customFormat="1" x14ac:dyDescent="0.2">
      <c r="A51" s="294" t="s">
        <v>7</v>
      </c>
      <c r="B51" s="288"/>
      <c r="C51" s="289"/>
      <c r="D51" s="252"/>
      <c r="E51" s="23"/>
      <c r="F51" s="145"/>
      <c r="G51" s="33"/>
      <c r="H51" s="145"/>
      <c r="I51" s="145"/>
      <c r="J51" s="33"/>
      <c r="K51" s="33"/>
      <c r="L51" s="159"/>
      <c r="M51" s="159"/>
      <c r="N51" s="148"/>
    </row>
    <row r="52" spans="1:14" s="3" customFormat="1" x14ac:dyDescent="0.2">
      <c r="A52" s="294" t="s">
        <v>8</v>
      </c>
      <c r="B52" s="288"/>
      <c r="C52" s="289"/>
      <c r="D52" s="252"/>
      <c r="E52" s="23"/>
      <c r="F52" s="145"/>
      <c r="G52" s="33"/>
      <c r="H52" s="145"/>
      <c r="I52" s="145"/>
      <c r="J52" s="33"/>
      <c r="K52" s="33"/>
      <c r="L52" s="159"/>
      <c r="M52" s="159"/>
      <c r="N52" s="148"/>
    </row>
    <row r="53" spans="1:14" s="3" customFormat="1" ht="15.75" x14ac:dyDescent="0.2">
      <c r="A53" s="39" t="s">
        <v>384</v>
      </c>
      <c r="B53" s="308">
        <v>2455.8690000000001</v>
      </c>
      <c r="C53" s="309">
        <v>1292.0250000000001</v>
      </c>
      <c r="D53" s="371">
        <f t="shared" si="6"/>
        <v>-47.4</v>
      </c>
      <c r="E53" s="11">
        <f>IFERROR(100/'Skjema total MA'!C53*C53,0)</f>
        <v>0.67737175742201339</v>
      </c>
      <c r="F53" s="145"/>
      <c r="G53" s="33"/>
      <c r="H53" s="145"/>
      <c r="I53" s="145"/>
      <c r="J53" s="33"/>
      <c r="K53" s="33"/>
      <c r="L53" s="159"/>
      <c r="M53" s="159"/>
      <c r="N53" s="148"/>
    </row>
    <row r="54" spans="1:14" s="3" customFormat="1" ht="15.75" x14ac:dyDescent="0.2">
      <c r="A54" s="38" t="s">
        <v>382</v>
      </c>
      <c r="B54" s="279">
        <v>2455.8690000000001</v>
      </c>
      <c r="C54" s="280">
        <v>1292.0250000000001</v>
      </c>
      <c r="D54" s="252">
        <f t="shared" si="6"/>
        <v>-47.4</v>
      </c>
      <c r="E54" s="27">
        <f>IFERROR(100/'Skjema total MA'!C54*C54,0)</f>
        <v>1.2461071719004955</v>
      </c>
      <c r="F54" s="145"/>
      <c r="G54" s="33"/>
      <c r="H54" s="145"/>
      <c r="I54" s="145"/>
      <c r="J54" s="33"/>
      <c r="K54" s="33"/>
      <c r="L54" s="159"/>
      <c r="M54" s="159"/>
      <c r="N54" s="148"/>
    </row>
    <row r="55" spans="1:14" s="3" customFormat="1" ht="15.75" x14ac:dyDescent="0.2">
      <c r="A55" s="38" t="s">
        <v>383</v>
      </c>
      <c r="B55" s="279"/>
      <c r="C55" s="280"/>
      <c r="D55" s="252"/>
      <c r="E55" s="27"/>
      <c r="F55" s="145"/>
      <c r="G55" s="33"/>
      <c r="H55" s="145"/>
      <c r="I55" s="145"/>
      <c r="J55" s="33"/>
      <c r="K55" s="33"/>
      <c r="L55" s="159"/>
      <c r="M55" s="159"/>
      <c r="N55" s="148"/>
    </row>
    <row r="56" spans="1:14" s="3" customFormat="1" ht="15.75" x14ac:dyDescent="0.2">
      <c r="A56" s="39" t="s">
        <v>385</v>
      </c>
      <c r="B56" s="308">
        <v>2466.433</v>
      </c>
      <c r="C56" s="309">
        <v>3648.7829999999999</v>
      </c>
      <c r="D56" s="371">
        <f t="shared" si="6"/>
        <v>47.9</v>
      </c>
      <c r="E56" s="11">
        <f>IFERROR(100/'Skjema total MA'!C56*C56,0)</f>
        <v>2.345224745570885</v>
      </c>
      <c r="F56" s="145"/>
      <c r="G56" s="33"/>
      <c r="H56" s="145"/>
      <c r="I56" s="145"/>
      <c r="J56" s="33"/>
      <c r="K56" s="33"/>
      <c r="L56" s="159"/>
      <c r="M56" s="159"/>
      <c r="N56" s="148"/>
    </row>
    <row r="57" spans="1:14" s="3" customFormat="1" ht="15.75" x14ac:dyDescent="0.2">
      <c r="A57" s="38" t="s">
        <v>382</v>
      </c>
      <c r="B57" s="279">
        <v>2466.433</v>
      </c>
      <c r="C57" s="280">
        <v>3648.7829999999999</v>
      </c>
      <c r="D57" s="252">
        <f t="shared" si="6"/>
        <v>47.9</v>
      </c>
      <c r="E57" s="27">
        <f>IFERROR(100/'Skjema total MA'!C57*C57,0)</f>
        <v>4.1001708959371372</v>
      </c>
      <c r="F57" s="145"/>
      <c r="G57" s="33"/>
      <c r="H57" s="145"/>
      <c r="I57" s="145"/>
      <c r="J57" s="33"/>
      <c r="K57" s="33"/>
      <c r="L57" s="159"/>
      <c r="M57" s="159"/>
      <c r="N57" s="148"/>
    </row>
    <row r="58" spans="1:14" s="3" customFormat="1" ht="15.75" x14ac:dyDescent="0.2">
      <c r="A58" s="46" t="s">
        <v>383</v>
      </c>
      <c r="B58" s="281">
        <v>0</v>
      </c>
      <c r="C58" s="282">
        <v>0</v>
      </c>
      <c r="D58" s="253" t="str">
        <f t="shared" si="6"/>
        <v xml:space="preserve">    ---- </v>
      </c>
      <c r="E58" s="22">
        <f>IFERROR(100/'Skjema total MA'!C58*C58,0)</f>
        <v>0</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95"/>
      <c r="C62" s="695"/>
      <c r="D62" s="695"/>
      <c r="E62" s="297"/>
      <c r="F62" s="695"/>
      <c r="G62" s="695"/>
      <c r="H62" s="695"/>
      <c r="I62" s="297"/>
      <c r="J62" s="695"/>
      <c r="K62" s="695"/>
      <c r="L62" s="695"/>
      <c r="M62" s="297"/>
    </row>
    <row r="63" spans="1:14" x14ac:dyDescent="0.2">
      <c r="A63" s="144"/>
      <c r="B63" s="696" t="s">
        <v>0</v>
      </c>
      <c r="C63" s="697"/>
      <c r="D63" s="698"/>
      <c r="E63" s="298"/>
      <c r="F63" s="697" t="s">
        <v>1</v>
      </c>
      <c r="G63" s="697"/>
      <c r="H63" s="697"/>
      <c r="I63" s="302"/>
      <c r="J63" s="696" t="s">
        <v>2</v>
      </c>
      <c r="K63" s="697"/>
      <c r="L63" s="697"/>
      <c r="M63" s="302"/>
    </row>
    <row r="64" spans="1:14" x14ac:dyDescent="0.2">
      <c r="A64" s="140"/>
      <c r="B64" s="152" t="s">
        <v>422</v>
      </c>
      <c r="C64" s="152" t="s">
        <v>423</v>
      </c>
      <c r="D64" s="243" t="s">
        <v>3</v>
      </c>
      <c r="E64" s="303" t="s">
        <v>29</v>
      </c>
      <c r="F64" s="152" t="s">
        <v>422</v>
      </c>
      <c r="G64" s="152" t="s">
        <v>423</v>
      </c>
      <c r="H64" s="243" t="s">
        <v>3</v>
      </c>
      <c r="I64" s="303" t="s">
        <v>29</v>
      </c>
      <c r="J64" s="152" t="s">
        <v>422</v>
      </c>
      <c r="K64" s="152" t="s">
        <v>423</v>
      </c>
      <c r="L64" s="243" t="s">
        <v>3</v>
      </c>
      <c r="M64" s="162" t="s">
        <v>29</v>
      </c>
    </row>
    <row r="65" spans="1:14" x14ac:dyDescent="0.2">
      <c r="A65" s="666"/>
      <c r="B65" s="156"/>
      <c r="C65" s="156"/>
      <c r="D65" s="244" t="s">
        <v>4</v>
      </c>
      <c r="E65" s="156" t="s">
        <v>30</v>
      </c>
      <c r="F65" s="161"/>
      <c r="G65" s="161"/>
      <c r="H65" s="243" t="s">
        <v>4</v>
      </c>
      <c r="I65" s="156" t="s">
        <v>30</v>
      </c>
      <c r="J65" s="161"/>
      <c r="K65" s="205"/>
      <c r="L65" s="156" t="s">
        <v>4</v>
      </c>
      <c r="M65" s="156" t="s">
        <v>30</v>
      </c>
    </row>
    <row r="66" spans="1:14" ht="15.75" x14ac:dyDescent="0.2">
      <c r="A66" s="14" t="s">
        <v>23</v>
      </c>
      <c r="B66" s="350"/>
      <c r="C66" s="350"/>
      <c r="D66" s="347"/>
      <c r="E66" s="11"/>
      <c r="F66" s="349"/>
      <c r="G66" s="349"/>
      <c r="H66" s="347"/>
      <c r="I66" s="11"/>
      <c r="J66" s="307"/>
      <c r="K66" s="314"/>
      <c r="L66" s="371"/>
      <c r="M66" s="11"/>
    </row>
    <row r="67" spans="1:14" x14ac:dyDescent="0.2">
      <c r="A67" s="365" t="s">
        <v>9</v>
      </c>
      <c r="B67" s="44"/>
      <c r="C67" s="145"/>
      <c r="D67" s="166"/>
      <c r="E67" s="27"/>
      <c r="F67" s="232"/>
      <c r="G67" s="145"/>
      <c r="H67" s="166"/>
      <c r="I67" s="27"/>
      <c r="J67" s="285"/>
      <c r="K67" s="44"/>
      <c r="L67" s="252"/>
      <c r="M67" s="27"/>
    </row>
    <row r="68" spans="1:14" x14ac:dyDescent="0.2">
      <c r="A68" s="21" t="s">
        <v>10</v>
      </c>
      <c r="B68" s="290"/>
      <c r="C68" s="291"/>
      <c r="D68" s="166"/>
      <c r="E68" s="27"/>
      <c r="F68" s="290"/>
      <c r="G68" s="291"/>
      <c r="H68" s="166"/>
      <c r="I68" s="27"/>
      <c r="J68" s="285"/>
      <c r="K68" s="44"/>
      <c r="L68" s="252"/>
      <c r="M68" s="27"/>
    </row>
    <row r="69" spans="1:14" ht="15.75" x14ac:dyDescent="0.2">
      <c r="A69" s="294" t="s">
        <v>386</v>
      </c>
      <c r="B69" s="279"/>
      <c r="C69" s="279"/>
      <c r="D69" s="166"/>
      <c r="E69" s="363"/>
      <c r="F69" s="279"/>
      <c r="G69" s="279"/>
      <c r="H69" s="166"/>
      <c r="I69" s="363"/>
      <c r="J69" s="288"/>
      <c r="K69" s="288"/>
      <c r="L69" s="166"/>
      <c r="M69" s="23"/>
    </row>
    <row r="70" spans="1:14" x14ac:dyDescent="0.2">
      <c r="A70" s="294" t="s">
        <v>12</v>
      </c>
      <c r="B70" s="292"/>
      <c r="C70" s="293"/>
      <c r="D70" s="166"/>
      <c r="E70" s="363"/>
      <c r="F70" s="279"/>
      <c r="G70" s="279"/>
      <c r="H70" s="166"/>
      <c r="I70" s="363"/>
      <c r="J70" s="288"/>
      <c r="K70" s="288"/>
      <c r="L70" s="166"/>
      <c r="M70" s="23"/>
    </row>
    <row r="71" spans="1:14" x14ac:dyDescent="0.2">
      <c r="A71" s="294" t="s">
        <v>13</v>
      </c>
      <c r="B71" s="233"/>
      <c r="C71" s="287"/>
      <c r="D71" s="166"/>
      <c r="E71" s="363"/>
      <c r="F71" s="279"/>
      <c r="G71" s="279"/>
      <c r="H71" s="166"/>
      <c r="I71" s="363"/>
      <c r="J71" s="288"/>
      <c r="K71" s="288"/>
      <c r="L71" s="166"/>
      <c r="M71" s="23"/>
    </row>
    <row r="72" spans="1:14" ht="15.75" x14ac:dyDescent="0.2">
      <c r="A72" s="294" t="s">
        <v>387</v>
      </c>
      <c r="B72" s="279"/>
      <c r="C72" s="279"/>
      <c r="D72" s="166"/>
      <c r="E72" s="363"/>
      <c r="F72" s="279"/>
      <c r="G72" s="279"/>
      <c r="H72" s="166"/>
      <c r="I72" s="363"/>
      <c r="J72" s="288"/>
      <c r="K72" s="288"/>
      <c r="L72" s="166"/>
      <c r="M72" s="23"/>
    </row>
    <row r="73" spans="1:14" x14ac:dyDescent="0.2">
      <c r="A73" s="294" t="s">
        <v>12</v>
      </c>
      <c r="B73" s="233"/>
      <c r="C73" s="287"/>
      <c r="D73" s="166"/>
      <c r="E73" s="363"/>
      <c r="F73" s="279"/>
      <c r="G73" s="279"/>
      <c r="H73" s="166"/>
      <c r="I73" s="363"/>
      <c r="J73" s="288"/>
      <c r="K73" s="288"/>
      <c r="L73" s="166"/>
      <c r="M73" s="23"/>
    </row>
    <row r="74" spans="1:14" s="3" customFormat="1" x14ac:dyDescent="0.2">
      <c r="A74" s="294" t="s">
        <v>13</v>
      </c>
      <c r="B74" s="233"/>
      <c r="C74" s="287"/>
      <c r="D74" s="166"/>
      <c r="E74" s="363"/>
      <c r="F74" s="279"/>
      <c r="G74" s="279"/>
      <c r="H74" s="166"/>
      <c r="I74" s="363"/>
      <c r="J74" s="288"/>
      <c r="K74" s="288"/>
      <c r="L74" s="166"/>
      <c r="M74" s="23"/>
      <c r="N74" s="148"/>
    </row>
    <row r="75" spans="1:14" s="3" customFormat="1" x14ac:dyDescent="0.2">
      <c r="A75" s="21" t="s">
        <v>356</v>
      </c>
      <c r="B75" s="232"/>
      <c r="C75" s="145"/>
      <c r="D75" s="166"/>
      <c r="E75" s="27"/>
      <c r="F75" s="232"/>
      <c r="G75" s="145"/>
      <c r="H75" s="166"/>
      <c r="I75" s="27"/>
      <c r="J75" s="285"/>
      <c r="K75" s="44"/>
      <c r="L75" s="252"/>
      <c r="M75" s="27"/>
      <c r="N75" s="148"/>
    </row>
    <row r="76" spans="1:14" s="3" customFormat="1" x14ac:dyDescent="0.2">
      <c r="A76" s="21" t="s">
        <v>355</v>
      </c>
      <c r="B76" s="232"/>
      <c r="C76" s="145"/>
      <c r="D76" s="166"/>
      <c r="E76" s="27"/>
      <c r="F76" s="232"/>
      <c r="G76" s="145"/>
      <c r="H76" s="166"/>
      <c r="I76" s="27"/>
      <c r="J76" s="285"/>
      <c r="K76" s="44"/>
      <c r="L76" s="252"/>
      <c r="M76" s="27"/>
      <c r="N76" s="148"/>
    </row>
    <row r="77" spans="1:14" ht="15.75" x14ac:dyDescent="0.2">
      <c r="A77" s="21" t="s">
        <v>388</v>
      </c>
      <c r="B77" s="232"/>
      <c r="C77" s="232"/>
      <c r="D77" s="166"/>
      <c r="E77" s="27"/>
      <c r="F77" s="232"/>
      <c r="G77" s="145"/>
      <c r="H77" s="166"/>
      <c r="I77" s="27"/>
      <c r="J77" s="285"/>
      <c r="K77" s="44"/>
      <c r="L77" s="252"/>
      <c r="M77" s="27"/>
    </row>
    <row r="78" spans="1:14" x14ac:dyDescent="0.2">
      <c r="A78" s="21" t="s">
        <v>9</v>
      </c>
      <c r="B78" s="232"/>
      <c r="C78" s="145"/>
      <c r="D78" s="166"/>
      <c r="E78" s="27"/>
      <c r="F78" s="232"/>
      <c r="G78" s="145"/>
      <c r="H78" s="166"/>
      <c r="I78" s="27"/>
      <c r="J78" s="285"/>
      <c r="K78" s="44"/>
      <c r="L78" s="252"/>
      <c r="M78" s="27"/>
    </row>
    <row r="79" spans="1:14" x14ac:dyDescent="0.2">
      <c r="A79" s="21" t="s">
        <v>10</v>
      </c>
      <c r="B79" s="290"/>
      <c r="C79" s="291"/>
      <c r="D79" s="166"/>
      <c r="E79" s="27"/>
      <c r="F79" s="290"/>
      <c r="G79" s="291"/>
      <c r="H79" s="166"/>
      <c r="I79" s="27"/>
      <c r="J79" s="285"/>
      <c r="K79" s="44"/>
      <c r="L79" s="252"/>
      <c r="M79" s="27"/>
    </row>
    <row r="80" spans="1:14" ht="15.75" x14ac:dyDescent="0.2">
      <c r="A80" s="294" t="s">
        <v>386</v>
      </c>
      <c r="B80" s="279"/>
      <c r="C80" s="279"/>
      <c r="D80" s="166"/>
      <c r="E80" s="363"/>
      <c r="F80" s="279"/>
      <c r="G80" s="279"/>
      <c r="H80" s="166"/>
      <c r="I80" s="363"/>
      <c r="J80" s="288"/>
      <c r="K80" s="288"/>
      <c r="L80" s="166"/>
      <c r="M80" s="23"/>
    </row>
    <row r="81" spans="1:13" x14ac:dyDescent="0.2">
      <c r="A81" s="294" t="s">
        <v>12</v>
      </c>
      <c r="B81" s="233"/>
      <c r="C81" s="287"/>
      <c r="D81" s="166"/>
      <c r="E81" s="363"/>
      <c r="F81" s="279"/>
      <c r="G81" s="279"/>
      <c r="H81" s="166"/>
      <c r="I81" s="363"/>
      <c r="J81" s="288"/>
      <c r="K81" s="288"/>
      <c r="L81" s="166"/>
      <c r="M81" s="23"/>
    </row>
    <row r="82" spans="1:13" x14ac:dyDescent="0.2">
      <c r="A82" s="294" t="s">
        <v>13</v>
      </c>
      <c r="B82" s="233"/>
      <c r="C82" s="287"/>
      <c r="D82" s="166"/>
      <c r="E82" s="363"/>
      <c r="F82" s="279"/>
      <c r="G82" s="279"/>
      <c r="H82" s="166"/>
      <c r="I82" s="363"/>
      <c r="J82" s="288"/>
      <c r="K82" s="288"/>
      <c r="L82" s="166"/>
      <c r="M82" s="23"/>
    </row>
    <row r="83" spans="1:13" ht="15.75" x14ac:dyDescent="0.2">
      <c r="A83" s="294" t="s">
        <v>387</v>
      </c>
      <c r="B83" s="279"/>
      <c r="C83" s="279"/>
      <c r="D83" s="166"/>
      <c r="E83" s="363"/>
      <c r="F83" s="279"/>
      <c r="G83" s="279"/>
      <c r="H83" s="166"/>
      <c r="I83" s="363"/>
      <c r="J83" s="288"/>
      <c r="K83" s="288"/>
      <c r="L83" s="166"/>
      <c r="M83" s="23"/>
    </row>
    <row r="84" spans="1:13" x14ac:dyDescent="0.2">
      <c r="A84" s="294" t="s">
        <v>12</v>
      </c>
      <c r="B84" s="233"/>
      <c r="C84" s="287"/>
      <c r="D84" s="166"/>
      <c r="E84" s="363"/>
      <c r="F84" s="279"/>
      <c r="G84" s="279"/>
      <c r="H84" s="166"/>
      <c r="I84" s="363"/>
      <c r="J84" s="288"/>
      <c r="K84" s="288"/>
      <c r="L84" s="166"/>
      <c r="M84" s="23"/>
    </row>
    <row r="85" spans="1:13" x14ac:dyDescent="0.2">
      <c r="A85" s="294" t="s">
        <v>13</v>
      </c>
      <c r="B85" s="233"/>
      <c r="C85" s="287"/>
      <c r="D85" s="166"/>
      <c r="E85" s="363"/>
      <c r="F85" s="279"/>
      <c r="G85" s="279"/>
      <c r="H85" s="166"/>
      <c r="I85" s="363"/>
      <c r="J85" s="288"/>
      <c r="K85" s="288"/>
      <c r="L85" s="166"/>
      <c r="M85" s="23"/>
    </row>
    <row r="86" spans="1:13" ht="15.75" x14ac:dyDescent="0.2">
      <c r="A86" s="21" t="s">
        <v>389</v>
      </c>
      <c r="B86" s="232"/>
      <c r="C86" s="145"/>
      <c r="D86" s="166"/>
      <c r="E86" s="27"/>
      <c r="F86" s="232"/>
      <c r="G86" s="145"/>
      <c r="H86" s="166"/>
      <c r="I86" s="27"/>
      <c r="J86" s="285"/>
      <c r="K86" s="44"/>
      <c r="L86" s="252"/>
      <c r="M86" s="27"/>
    </row>
    <row r="87" spans="1:13" ht="15.75" x14ac:dyDescent="0.2">
      <c r="A87" s="13" t="s">
        <v>371</v>
      </c>
      <c r="B87" s="350"/>
      <c r="C87" s="350"/>
      <c r="D87" s="171"/>
      <c r="E87" s="11"/>
      <c r="F87" s="349"/>
      <c r="G87" s="349"/>
      <c r="H87" s="171"/>
      <c r="I87" s="11"/>
      <c r="J87" s="307"/>
      <c r="K87" s="234"/>
      <c r="L87" s="371"/>
      <c r="M87" s="11"/>
    </row>
    <row r="88" spans="1:13" x14ac:dyDescent="0.2">
      <c r="A88" s="21" t="s">
        <v>9</v>
      </c>
      <c r="B88" s="232"/>
      <c r="C88" s="145"/>
      <c r="D88" s="166"/>
      <c r="E88" s="27"/>
      <c r="F88" s="232"/>
      <c r="G88" s="145"/>
      <c r="H88" s="166"/>
      <c r="I88" s="27"/>
      <c r="J88" s="285"/>
      <c r="K88" s="44"/>
      <c r="L88" s="252"/>
      <c r="M88" s="27"/>
    </row>
    <row r="89" spans="1:13" x14ac:dyDescent="0.2">
      <c r="A89" s="21" t="s">
        <v>10</v>
      </c>
      <c r="B89" s="232"/>
      <c r="C89" s="145"/>
      <c r="D89" s="166"/>
      <c r="E89" s="27"/>
      <c r="F89" s="232"/>
      <c r="G89" s="145"/>
      <c r="H89" s="166"/>
      <c r="I89" s="27"/>
      <c r="J89" s="285"/>
      <c r="K89" s="44"/>
      <c r="L89" s="252"/>
      <c r="M89" s="27"/>
    </row>
    <row r="90" spans="1:13" ht="15.75" x14ac:dyDescent="0.2">
      <c r="A90" s="294" t="s">
        <v>386</v>
      </c>
      <c r="B90" s="279"/>
      <c r="C90" s="279"/>
      <c r="D90" s="166"/>
      <c r="E90" s="363"/>
      <c r="F90" s="279"/>
      <c r="G90" s="279"/>
      <c r="H90" s="166"/>
      <c r="I90" s="363"/>
      <c r="J90" s="288"/>
      <c r="K90" s="288"/>
      <c r="L90" s="166"/>
      <c r="M90" s="23"/>
    </row>
    <row r="91" spans="1:13" x14ac:dyDescent="0.2">
      <c r="A91" s="294" t="s">
        <v>12</v>
      </c>
      <c r="B91" s="233"/>
      <c r="C91" s="287"/>
      <c r="D91" s="166"/>
      <c r="E91" s="363"/>
      <c r="F91" s="279"/>
      <c r="G91" s="279"/>
      <c r="H91" s="166"/>
      <c r="I91" s="363"/>
      <c r="J91" s="288"/>
      <c r="K91" s="288"/>
      <c r="L91" s="166"/>
      <c r="M91" s="23"/>
    </row>
    <row r="92" spans="1:13" x14ac:dyDescent="0.2">
      <c r="A92" s="294" t="s">
        <v>13</v>
      </c>
      <c r="B92" s="233"/>
      <c r="C92" s="287"/>
      <c r="D92" s="166"/>
      <c r="E92" s="363"/>
      <c r="F92" s="279"/>
      <c r="G92" s="279"/>
      <c r="H92" s="166"/>
      <c r="I92" s="363"/>
      <c r="J92" s="288"/>
      <c r="K92" s="288"/>
      <c r="L92" s="166"/>
      <c r="M92" s="23"/>
    </row>
    <row r="93" spans="1:13" ht="15.75" x14ac:dyDescent="0.2">
      <c r="A93" s="294" t="s">
        <v>387</v>
      </c>
      <c r="B93" s="279"/>
      <c r="C93" s="279"/>
      <c r="D93" s="166"/>
      <c r="E93" s="363"/>
      <c r="F93" s="279"/>
      <c r="G93" s="279"/>
      <c r="H93" s="166"/>
      <c r="I93" s="363"/>
      <c r="J93" s="288"/>
      <c r="K93" s="288"/>
      <c r="L93" s="166"/>
      <c r="M93" s="23"/>
    </row>
    <row r="94" spans="1:13" x14ac:dyDescent="0.2">
      <c r="A94" s="294" t="s">
        <v>12</v>
      </c>
      <c r="B94" s="233"/>
      <c r="C94" s="287"/>
      <c r="D94" s="166"/>
      <c r="E94" s="363"/>
      <c r="F94" s="279"/>
      <c r="G94" s="279"/>
      <c r="H94" s="166"/>
      <c r="I94" s="363"/>
      <c r="J94" s="288"/>
      <c r="K94" s="288"/>
      <c r="L94" s="166"/>
      <c r="M94" s="23"/>
    </row>
    <row r="95" spans="1:13" x14ac:dyDescent="0.2">
      <c r="A95" s="294" t="s">
        <v>13</v>
      </c>
      <c r="B95" s="233"/>
      <c r="C95" s="287"/>
      <c r="D95" s="166"/>
      <c r="E95" s="363"/>
      <c r="F95" s="279"/>
      <c r="G95" s="279"/>
      <c r="H95" s="166"/>
      <c r="I95" s="363"/>
      <c r="J95" s="288"/>
      <c r="K95" s="288"/>
      <c r="L95" s="166"/>
      <c r="M95" s="23"/>
    </row>
    <row r="96" spans="1:13" x14ac:dyDescent="0.2">
      <c r="A96" s="21" t="s">
        <v>354</v>
      </c>
      <c r="B96" s="232"/>
      <c r="C96" s="145"/>
      <c r="D96" s="166"/>
      <c r="E96" s="27"/>
      <c r="F96" s="232"/>
      <c r="G96" s="145"/>
      <c r="H96" s="166"/>
      <c r="I96" s="27"/>
      <c r="J96" s="285"/>
      <c r="K96" s="44"/>
      <c r="L96" s="252"/>
      <c r="M96" s="27"/>
    </row>
    <row r="97" spans="1:13" x14ac:dyDescent="0.2">
      <c r="A97" s="21" t="s">
        <v>353</v>
      </c>
      <c r="B97" s="232"/>
      <c r="C97" s="145"/>
      <c r="D97" s="166"/>
      <c r="E97" s="27"/>
      <c r="F97" s="232"/>
      <c r="G97" s="145"/>
      <c r="H97" s="166"/>
      <c r="I97" s="27"/>
      <c r="J97" s="285"/>
      <c r="K97" s="44"/>
      <c r="L97" s="252"/>
      <c r="M97" s="27"/>
    </row>
    <row r="98" spans="1:13" ht="15.75" x14ac:dyDescent="0.2">
      <c r="A98" s="21" t="s">
        <v>388</v>
      </c>
      <c r="B98" s="232"/>
      <c r="C98" s="232"/>
      <c r="D98" s="166"/>
      <c r="E98" s="27"/>
      <c r="F98" s="290"/>
      <c r="G98" s="290"/>
      <c r="H98" s="166"/>
      <c r="I98" s="27"/>
      <c r="J98" s="285"/>
      <c r="K98" s="44"/>
      <c r="L98" s="252"/>
      <c r="M98" s="27"/>
    </row>
    <row r="99" spans="1:13" x14ac:dyDescent="0.2">
      <c r="A99" s="21" t="s">
        <v>9</v>
      </c>
      <c r="B99" s="290"/>
      <c r="C99" s="291"/>
      <c r="D99" s="166"/>
      <c r="E99" s="27"/>
      <c r="F99" s="232"/>
      <c r="G99" s="145"/>
      <c r="H99" s="166"/>
      <c r="I99" s="27"/>
      <c r="J99" s="285"/>
      <c r="K99" s="44"/>
      <c r="L99" s="252"/>
      <c r="M99" s="27"/>
    </row>
    <row r="100" spans="1:13" x14ac:dyDescent="0.2">
      <c r="A100" s="21" t="s">
        <v>10</v>
      </c>
      <c r="B100" s="290"/>
      <c r="C100" s="291"/>
      <c r="D100" s="166"/>
      <c r="E100" s="27"/>
      <c r="F100" s="232"/>
      <c r="G100" s="232"/>
      <c r="H100" s="166"/>
      <c r="I100" s="27"/>
      <c r="J100" s="285"/>
      <c r="K100" s="44"/>
      <c r="L100" s="252"/>
      <c r="M100" s="27"/>
    </row>
    <row r="101" spans="1:13" ht="15.75" x14ac:dyDescent="0.2">
      <c r="A101" s="294" t="s">
        <v>386</v>
      </c>
      <c r="B101" s="279"/>
      <c r="C101" s="279"/>
      <c r="D101" s="166"/>
      <c r="E101" s="363"/>
      <c r="F101" s="279"/>
      <c r="G101" s="279"/>
      <c r="H101" s="166"/>
      <c r="I101" s="363"/>
      <c r="J101" s="288"/>
      <c r="K101" s="288"/>
      <c r="L101" s="166"/>
      <c r="M101" s="23"/>
    </row>
    <row r="102" spans="1:13" x14ac:dyDescent="0.2">
      <c r="A102" s="294" t="s">
        <v>12</v>
      </c>
      <c r="B102" s="233"/>
      <c r="C102" s="287"/>
      <c r="D102" s="166"/>
      <c r="E102" s="363"/>
      <c r="F102" s="279"/>
      <c r="G102" s="279"/>
      <c r="H102" s="166"/>
      <c r="I102" s="363"/>
      <c r="J102" s="288"/>
      <c r="K102" s="288"/>
      <c r="L102" s="166"/>
      <c r="M102" s="23"/>
    </row>
    <row r="103" spans="1:13" x14ac:dyDescent="0.2">
      <c r="A103" s="294" t="s">
        <v>13</v>
      </c>
      <c r="B103" s="233"/>
      <c r="C103" s="287"/>
      <c r="D103" s="166"/>
      <c r="E103" s="363"/>
      <c r="F103" s="279"/>
      <c r="G103" s="279"/>
      <c r="H103" s="166"/>
      <c r="I103" s="363"/>
      <c r="J103" s="288"/>
      <c r="K103" s="288"/>
      <c r="L103" s="166"/>
      <c r="M103" s="23"/>
    </row>
    <row r="104" spans="1:13" ht="15.75" x14ac:dyDescent="0.2">
      <c r="A104" s="294" t="s">
        <v>387</v>
      </c>
      <c r="B104" s="279"/>
      <c r="C104" s="279"/>
      <c r="D104" s="166"/>
      <c r="E104" s="363"/>
      <c r="F104" s="279"/>
      <c r="G104" s="279"/>
      <c r="H104" s="166"/>
      <c r="I104" s="363"/>
      <c r="J104" s="288"/>
      <c r="K104" s="288"/>
      <c r="L104" s="166"/>
      <c r="M104" s="23"/>
    </row>
    <row r="105" spans="1:13" x14ac:dyDescent="0.2">
      <c r="A105" s="294" t="s">
        <v>12</v>
      </c>
      <c r="B105" s="233"/>
      <c r="C105" s="287"/>
      <c r="D105" s="166"/>
      <c r="E105" s="363"/>
      <c r="F105" s="279"/>
      <c r="G105" s="279"/>
      <c r="H105" s="166"/>
      <c r="I105" s="363"/>
      <c r="J105" s="288"/>
      <c r="K105" s="288"/>
      <c r="L105" s="166"/>
      <c r="M105" s="23"/>
    </row>
    <row r="106" spans="1:13" x14ac:dyDescent="0.2">
      <c r="A106" s="294" t="s">
        <v>13</v>
      </c>
      <c r="B106" s="233"/>
      <c r="C106" s="287"/>
      <c r="D106" s="166"/>
      <c r="E106" s="363"/>
      <c r="F106" s="279"/>
      <c r="G106" s="279"/>
      <c r="H106" s="166"/>
      <c r="I106" s="363"/>
      <c r="J106" s="288"/>
      <c r="K106" s="288"/>
      <c r="L106" s="166"/>
      <c r="M106" s="23"/>
    </row>
    <row r="107" spans="1:13" ht="15.75" x14ac:dyDescent="0.2">
      <c r="A107" s="21" t="s">
        <v>389</v>
      </c>
      <c r="B107" s="232"/>
      <c r="C107" s="145"/>
      <c r="D107" s="166"/>
      <c r="E107" s="27"/>
      <c r="F107" s="232"/>
      <c r="G107" s="145"/>
      <c r="H107" s="166"/>
      <c r="I107" s="27"/>
      <c r="J107" s="285"/>
      <c r="K107" s="44"/>
      <c r="L107" s="252"/>
      <c r="M107" s="27"/>
    </row>
    <row r="108" spans="1:13" ht="15.75" x14ac:dyDescent="0.2">
      <c r="A108" s="21" t="s">
        <v>390</v>
      </c>
      <c r="B108" s="232"/>
      <c r="C108" s="232"/>
      <c r="D108" s="166"/>
      <c r="E108" s="27"/>
      <c r="F108" s="232"/>
      <c r="G108" s="232"/>
      <c r="H108" s="166"/>
      <c r="I108" s="27"/>
      <c r="J108" s="285"/>
      <c r="K108" s="44"/>
      <c r="L108" s="252"/>
      <c r="M108" s="27"/>
    </row>
    <row r="109" spans="1:13" ht="15.75" x14ac:dyDescent="0.2">
      <c r="A109" s="21" t="s">
        <v>391</v>
      </c>
      <c r="B109" s="232"/>
      <c r="C109" s="232"/>
      <c r="D109" s="166"/>
      <c r="E109" s="27"/>
      <c r="F109" s="232"/>
      <c r="G109" s="232"/>
      <c r="H109" s="166"/>
      <c r="I109" s="27"/>
      <c r="J109" s="285"/>
      <c r="K109" s="44"/>
      <c r="L109" s="252"/>
      <c r="M109" s="27"/>
    </row>
    <row r="110" spans="1:13" ht="15.75" x14ac:dyDescent="0.2">
      <c r="A110" s="21" t="s">
        <v>392</v>
      </c>
      <c r="B110" s="232"/>
      <c r="C110" s="232"/>
      <c r="D110" s="166"/>
      <c r="E110" s="27"/>
      <c r="F110" s="232"/>
      <c r="G110" s="232"/>
      <c r="H110" s="166"/>
      <c r="I110" s="27"/>
      <c r="J110" s="285"/>
      <c r="K110" s="44"/>
      <c r="L110" s="252"/>
      <c r="M110" s="27"/>
    </row>
    <row r="111" spans="1:13" ht="15.75" x14ac:dyDescent="0.2">
      <c r="A111" s="13" t="s">
        <v>372</v>
      </c>
      <c r="B111" s="306"/>
      <c r="C111" s="159"/>
      <c r="D111" s="171"/>
      <c r="E111" s="11"/>
      <c r="F111" s="306"/>
      <c r="G111" s="159"/>
      <c r="H111" s="171"/>
      <c r="I111" s="11"/>
      <c r="J111" s="307"/>
      <c r="K111" s="234"/>
      <c r="L111" s="371"/>
      <c r="M111" s="11"/>
    </row>
    <row r="112" spans="1:13" x14ac:dyDescent="0.2">
      <c r="A112" s="21" t="s">
        <v>9</v>
      </c>
      <c r="B112" s="232"/>
      <c r="C112" s="145"/>
      <c r="D112" s="166"/>
      <c r="E112" s="27"/>
      <c r="F112" s="232"/>
      <c r="G112" s="145"/>
      <c r="H112" s="166"/>
      <c r="I112" s="27"/>
      <c r="J112" s="285"/>
      <c r="K112" s="44"/>
      <c r="L112" s="252"/>
      <c r="M112" s="27"/>
    </row>
    <row r="113" spans="1:14" x14ac:dyDescent="0.2">
      <c r="A113" s="21" t="s">
        <v>10</v>
      </c>
      <c r="B113" s="232"/>
      <c r="C113" s="145"/>
      <c r="D113" s="166"/>
      <c r="E113" s="27"/>
      <c r="F113" s="232"/>
      <c r="G113" s="145"/>
      <c r="H113" s="166"/>
      <c r="I113" s="27"/>
      <c r="J113" s="285"/>
      <c r="K113" s="44"/>
      <c r="L113" s="252"/>
      <c r="M113" s="27"/>
    </row>
    <row r="114" spans="1:14" x14ac:dyDescent="0.2">
      <c r="A114" s="21" t="s">
        <v>26</v>
      </c>
      <c r="B114" s="232"/>
      <c r="C114" s="145"/>
      <c r="D114" s="166"/>
      <c r="E114" s="27"/>
      <c r="F114" s="232"/>
      <c r="G114" s="145"/>
      <c r="H114" s="166"/>
      <c r="I114" s="27"/>
      <c r="J114" s="285"/>
      <c r="K114" s="44"/>
      <c r="L114" s="252"/>
      <c r="M114" s="27"/>
    </row>
    <row r="115" spans="1:14" x14ac:dyDescent="0.2">
      <c r="A115" s="294" t="s">
        <v>15</v>
      </c>
      <c r="B115" s="279"/>
      <c r="C115" s="279"/>
      <c r="D115" s="166"/>
      <c r="E115" s="363"/>
      <c r="F115" s="279"/>
      <c r="G115" s="279"/>
      <c r="H115" s="166"/>
      <c r="I115" s="363"/>
      <c r="J115" s="288"/>
      <c r="K115" s="288"/>
      <c r="L115" s="166"/>
      <c r="M115" s="23"/>
    </row>
    <row r="116" spans="1:14" ht="15.75" x14ac:dyDescent="0.2">
      <c r="A116" s="21" t="s">
        <v>393</v>
      </c>
      <c r="B116" s="232"/>
      <c r="C116" s="232"/>
      <c r="D116" s="166"/>
      <c r="E116" s="27"/>
      <c r="F116" s="232"/>
      <c r="G116" s="232"/>
      <c r="H116" s="166"/>
      <c r="I116" s="27"/>
      <c r="J116" s="285"/>
      <c r="K116" s="44"/>
      <c r="L116" s="252"/>
      <c r="M116" s="27"/>
    </row>
    <row r="117" spans="1:14" ht="15.75" x14ac:dyDescent="0.2">
      <c r="A117" s="21" t="s">
        <v>394</v>
      </c>
      <c r="B117" s="232"/>
      <c r="C117" s="232"/>
      <c r="D117" s="166"/>
      <c r="E117" s="27"/>
      <c r="F117" s="232"/>
      <c r="G117" s="232"/>
      <c r="H117" s="166"/>
      <c r="I117" s="27"/>
      <c r="J117" s="285"/>
      <c r="K117" s="44"/>
      <c r="L117" s="252"/>
      <c r="M117" s="27"/>
    </row>
    <row r="118" spans="1:14" ht="15.75" x14ac:dyDescent="0.2">
      <c r="A118" s="21" t="s">
        <v>392</v>
      </c>
      <c r="B118" s="232"/>
      <c r="C118" s="232"/>
      <c r="D118" s="166"/>
      <c r="E118" s="27"/>
      <c r="F118" s="232"/>
      <c r="G118" s="232"/>
      <c r="H118" s="166"/>
      <c r="I118" s="27"/>
      <c r="J118" s="285"/>
      <c r="K118" s="44"/>
      <c r="L118" s="252"/>
      <c r="M118" s="27"/>
    </row>
    <row r="119" spans="1:14" ht="15.75" x14ac:dyDescent="0.2">
      <c r="A119" s="13" t="s">
        <v>373</v>
      </c>
      <c r="B119" s="306"/>
      <c r="C119" s="159"/>
      <c r="D119" s="171"/>
      <c r="E119" s="11"/>
      <c r="F119" s="306"/>
      <c r="G119" s="159"/>
      <c r="H119" s="171"/>
      <c r="I119" s="11"/>
      <c r="J119" s="307"/>
      <c r="K119" s="234"/>
      <c r="L119" s="371"/>
      <c r="M119" s="11"/>
    </row>
    <row r="120" spans="1:14" x14ac:dyDescent="0.2">
      <c r="A120" s="21" t="s">
        <v>9</v>
      </c>
      <c r="B120" s="232"/>
      <c r="C120" s="145"/>
      <c r="D120" s="166"/>
      <c r="E120" s="27"/>
      <c r="F120" s="232"/>
      <c r="G120" s="145"/>
      <c r="H120" s="166"/>
      <c r="I120" s="27"/>
      <c r="J120" s="285"/>
      <c r="K120" s="44"/>
      <c r="L120" s="252"/>
      <c r="M120" s="27"/>
    </row>
    <row r="121" spans="1:14" x14ac:dyDescent="0.2">
      <c r="A121" s="21" t="s">
        <v>10</v>
      </c>
      <c r="B121" s="232"/>
      <c r="C121" s="145"/>
      <c r="D121" s="166"/>
      <c r="E121" s="27"/>
      <c r="F121" s="232"/>
      <c r="G121" s="145"/>
      <c r="H121" s="166"/>
      <c r="I121" s="27"/>
      <c r="J121" s="285"/>
      <c r="K121" s="44"/>
      <c r="L121" s="252"/>
      <c r="M121" s="27"/>
    </row>
    <row r="122" spans="1:14" x14ac:dyDescent="0.2">
      <c r="A122" s="21" t="s">
        <v>26</v>
      </c>
      <c r="B122" s="232"/>
      <c r="C122" s="145"/>
      <c r="D122" s="166"/>
      <c r="E122" s="27"/>
      <c r="F122" s="232"/>
      <c r="G122" s="145"/>
      <c r="H122" s="166"/>
      <c r="I122" s="27"/>
      <c r="J122" s="285"/>
      <c r="K122" s="44"/>
      <c r="L122" s="252"/>
      <c r="M122" s="27"/>
    </row>
    <row r="123" spans="1:14" x14ac:dyDescent="0.2">
      <c r="A123" s="294" t="s">
        <v>14</v>
      </c>
      <c r="B123" s="279"/>
      <c r="C123" s="279"/>
      <c r="D123" s="166"/>
      <c r="E123" s="363"/>
      <c r="F123" s="279"/>
      <c r="G123" s="279"/>
      <c r="H123" s="166"/>
      <c r="I123" s="363"/>
      <c r="J123" s="288"/>
      <c r="K123" s="288"/>
      <c r="L123" s="166"/>
      <c r="M123" s="23"/>
    </row>
    <row r="124" spans="1:14" ht="15.75" x14ac:dyDescent="0.2">
      <c r="A124" s="21" t="s">
        <v>399</v>
      </c>
      <c r="B124" s="232"/>
      <c r="C124" s="232"/>
      <c r="D124" s="166"/>
      <c r="E124" s="27"/>
      <c r="F124" s="232"/>
      <c r="G124" s="232"/>
      <c r="H124" s="166"/>
      <c r="I124" s="27"/>
      <c r="J124" s="285"/>
      <c r="K124" s="44"/>
      <c r="L124" s="252"/>
      <c r="M124" s="27"/>
    </row>
    <row r="125" spans="1:14" ht="15.75" x14ac:dyDescent="0.2">
      <c r="A125" s="21" t="s">
        <v>391</v>
      </c>
      <c r="B125" s="232"/>
      <c r="C125" s="232"/>
      <c r="D125" s="166"/>
      <c r="E125" s="27"/>
      <c r="F125" s="232"/>
      <c r="G125" s="232"/>
      <c r="H125" s="166"/>
      <c r="I125" s="27"/>
      <c r="J125" s="285"/>
      <c r="K125" s="44"/>
      <c r="L125" s="252"/>
      <c r="M125" s="27"/>
    </row>
    <row r="126" spans="1:14" ht="15.75" x14ac:dyDescent="0.2">
      <c r="A126" s="10" t="s">
        <v>392</v>
      </c>
      <c r="B126" s="45"/>
      <c r="C126" s="45"/>
      <c r="D126" s="167"/>
      <c r="E126" s="364"/>
      <c r="F126" s="45"/>
      <c r="G126" s="45"/>
      <c r="H126" s="167"/>
      <c r="I126" s="22"/>
      <c r="J126" s="286"/>
      <c r="K126" s="45"/>
      <c r="L126" s="253"/>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95"/>
      <c r="C130" s="695"/>
      <c r="D130" s="695"/>
      <c r="E130" s="297"/>
      <c r="F130" s="695"/>
      <c r="G130" s="695"/>
      <c r="H130" s="695"/>
      <c r="I130" s="297"/>
      <c r="J130" s="695"/>
      <c r="K130" s="695"/>
      <c r="L130" s="695"/>
      <c r="M130" s="297"/>
    </row>
    <row r="131" spans="1:14" s="3" customFormat="1" x14ac:dyDescent="0.2">
      <c r="A131" s="144"/>
      <c r="B131" s="696" t="s">
        <v>0</v>
      </c>
      <c r="C131" s="697"/>
      <c r="D131" s="697"/>
      <c r="E131" s="299"/>
      <c r="F131" s="696" t="s">
        <v>1</v>
      </c>
      <c r="G131" s="697"/>
      <c r="H131" s="697"/>
      <c r="I131" s="302"/>
      <c r="J131" s="696" t="s">
        <v>2</v>
      </c>
      <c r="K131" s="697"/>
      <c r="L131" s="697"/>
      <c r="M131" s="302"/>
      <c r="N131" s="148"/>
    </row>
    <row r="132" spans="1:14" s="3" customFormat="1" x14ac:dyDescent="0.2">
      <c r="A132" s="140"/>
      <c r="B132" s="152" t="s">
        <v>422</v>
      </c>
      <c r="C132" s="152" t="s">
        <v>423</v>
      </c>
      <c r="D132" s="243" t="s">
        <v>3</v>
      </c>
      <c r="E132" s="303" t="s">
        <v>29</v>
      </c>
      <c r="F132" s="152" t="s">
        <v>422</v>
      </c>
      <c r="G132" s="152" t="s">
        <v>423</v>
      </c>
      <c r="H132" s="205" t="s">
        <v>3</v>
      </c>
      <c r="I132" s="162" t="s">
        <v>29</v>
      </c>
      <c r="J132" s="152" t="s">
        <v>422</v>
      </c>
      <c r="K132" s="152" t="s">
        <v>423</v>
      </c>
      <c r="L132" s="244" t="s">
        <v>3</v>
      </c>
      <c r="M132" s="162" t="s">
        <v>29</v>
      </c>
      <c r="N132" s="148"/>
    </row>
    <row r="133" spans="1:14" s="3" customFormat="1" x14ac:dyDescent="0.2">
      <c r="A133" s="666"/>
      <c r="B133" s="156"/>
      <c r="C133" s="156"/>
      <c r="D133" s="244" t="s">
        <v>4</v>
      </c>
      <c r="E133" s="156" t="s">
        <v>30</v>
      </c>
      <c r="F133" s="161"/>
      <c r="G133" s="161"/>
      <c r="H133" s="205" t="s">
        <v>4</v>
      </c>
      <c r="I133" s="156" t="s">
        <v>30</v>
      </c>
      <c r="J133" s="156"/>
      <c r="K133" s="156"/>
      <c r="L133" s="150" t="s">
        <v>4</v>
      </c>
      <c r="M133" s="156" t="s">
        <v>30</v>
      </c>
      <c r="N133" s="148"/>
    </row>
    <row r="134" spans="1:14" s="3" customFormat="1" ht="15.75" x14ac:dyDescent="0.2">
      <c r="A134" s="14" t="s">
        <v>395</v>
      </c>
      <c r="B134" s="234"/>
      <c r="C134" s="307"/>
      <c r="D134" s="347"/>
      <c r="E134" s="11"/>
      <c r="F134" s="314"/>
      <c r="G134" s="315"/>
      <c r="H134" s="374"/>
      <c r="I134" s="24"/>
      <c r="J134" s="316"/>
      <c r="K134" s="316"/>
      <c r="L134" s="370"/>
      <c r="M134" s="11"/>
      <c r="N134" s="148"/>
    </row>
    <row r="135" spans="1:14" s="3" customFormat="1" ht="15.75" x14ac:dyDescent="0.2">
      <c r="A135" s="13" t="s">
        <v>400</v>
      </c>
      <c r="B135" s="234"/>
      <c r="C135" s="307"/>
      <c r="D135" s="171"/>
      <c r="E135" s="11"/>
      <c r="F135" s="234"/>
      <c r="G135" s="307"/>
      <c r="H135" s="375"/>
      <c r="I135" s="24"/>
      <c r="J135" s="306"/>
      <c r="K135" s="306"/>
      <c r="L135" s="371"/>
      <c r="M135" s="11"/>
      <c r="N135" s="148"/>
    </row>
    <row r="136" spans="1:14" s="3" customFormat="1" ht="15.75" x14ac:dyDescent="0.2">
      <c r="A136" s="13" t="s">
        <v>397</v>
      </c>
      <c r="B136" s="234"/>
      <c r="C136" s="307"/>
      <c r="D136" s="171"/>
      <c r="E136" s="11"/>
      <c r="F136" s="234"/>
      <c r="G136" s="307"/>
      <c r="H136" s="375"/>
      <c r="I136" s="24"/>
      <c r="J136" s="306"/>
      <c r="K136" s="306"/>
      <c r="L136" s="371"/>
      <c r="M136" s="11"/>
      <c r="N136" s="148"/>
    </row>
    <row r="137" spans="1:14" s="3" customFormat="1" ht="15.75" x14ac:dyDescent="0.2">
      <c r="A137" s="41" t="s">
        <v>398</v>
      </c>
      <c r="B137" s="274"/>
      <c r="C137" s="313"/>
      <c r="D137" s="169"/>
      <c r="E137" s="9"/>
      <c r="F137" s="274"/>
      <c r="G137" s="313"/>
      <c r="H137" s="376"/>
      <c r="I137" s="36"/>
      <c r="J137" s="312"/>
      <c r="K137" s="312"/>
      <c r="L137" s="372"/>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045" priority="132">
      <formula>kvartal &lt; 4</formula>
    </cfRule>
  </conditionalFormatting>
  <conditionalFormatting sqref="B69">
    <cfRule type="expression" dxfId="1044" priority="100">
      <formula>kvartal &lt; 4</formula>
    </cfRule>
  </conditionalFormatting>
  <conditionalFormatting sqref="C69">
    <cfRule type="expression" dxfId="1043" priority="99">
      <formula>kvartal &lt; 4</formula>
    </cfRule>
  </conditionalFormatting>
  <conditionalFormatting sqref="B72">
    <cfRule type="expression" dxfId="1042" priority="98">
      <formula>kvartal &lt; 4</formula>
    </cfRule>
  </conditionalFormatting>
  <conditionalFormatting sqref="C72">
    <cfRule type="expression" dxfId="1041" priority="97">
      <formula>kvartal &lt; 4</formula>
    </cfRule>
  </conditionalFormatting>
  <conditionalFormatting sqref="B80">
    <cfRule type="expression" dxfId="1040" priority="96">
      <formula>kvartal &lt; 4</formula>
    </cfRule>
  </conditionalFormatting>
  <conditionalFormatting sqref="C80">
    <cfRule type="expression" dxfId="1039" priority="95">
      <formula>kvartal &lt; 4</formula>
    </cfRule>
  </conditionalFormatting>
  <conditionalFormatting sqref="B83">
    <cfRule type="expression" dxfId="1038" priority="94">
      <formula>kvartal &lt; 4</formula>
    </cfRule>
  </conditionalFormatting>
  <conditionalFormatting sqref="C83">
    <cfRule type="expression" dxfId="1037" priority="93">
      <formula>kvartal &lt; 4</formula>
    </cfRule>
  </conditionalFormatting>
  <conditionalFormatting sqref="B90">
    <cfRule type="expression" dxfId="1036" priority="84">
      <formula>kvartal &lt; 4</formula>
    </cfRule>
  </conditionalFormatting>
  <conditionalFormatting sqref="C90">
    <cfRule type="expression" dxfId="1035" priority="83">
      <formula>kvartal &lt; 4</formula>
    </cfRule>
  </conditionalFormatting>
  <conditionalFormatting sqref="B93">
    <cfRule type="expression" dxfId="1034" priority="82">
      <formula>kvartal &lt; 4</formula>
    </cfRule>
  </conditionalFormatting>
  <conditionalFormatting sqref="C93">
    <cfRule type="expression" dxfId="1033" priority="81">
      <formula>kvartal &lt; 4</formula>
    </cfRule>
  </conditionalFormatting>
  <conditionalFormatting sqref="B101">
    <cfRule type="expression" dxfId="1032" priority="80">
      <formula>kvartal &lt; 4</formula>
    </cfRule>
  </conditionalFormatting>
  <conditionalFormatting sqref="C101">
    <cfRule type="expression" dxfId="1031" priority="79">
      <formula>kvartal &lt; 4</formula>
    </cfRule>
  </conditionalFormatting>
  <conditionalFormatting sqref="B104">
    <cfRule type="expression" dxfId="1030" priority="78">
      <formula>kvartal &lt; 4</formula>
    </cfRule>
  </conditionalFormatting>
  <conditionalFormatting sqref="C104">
    <cfRule type="expression" dxfId="1029" priority="77">
      <formula>kvartal &lt; 4</formula>
    </cfRule>
  </conditionalFormatting>
  <conditionalFormatting sqref="B115">
    <cfRule type="expression" dxfId="1028" priority="76">
      <formula>kvartal &lt; 4</formula>
    </cfRule>
  </conditionalFormatting>
  <conditionalFormatting sqref="C115">
    <cfRule type="expression" dxfId="1027" priority="75">
      <formula>kvartal &lt; 4</formula>
    </cfRule>
  </conditionalFormatting>
  <conditionalFormatting sqref="B123">
    <cfRule type="expression" dxfId="1026" priority="74">
      <formula>kvartal &lt; 4</formula>
    </cfRule>
  </conditionalFormatting>
  <conditionalFormatting sqref="C123">
    <cfRule type="expression" dxfId="1025" priority="73">
      <formula>kvartal &lt; 4</formula>
    </cfRule>
  </conditionalFormatting>
  <conditionalFormatting sqref="F70">
    <cfRule type="expression" dxfId="1024" priority="72">
      <formula>kvartal &lt; 4</formula>
    </cfRule>
  </conditionalFormatting>
  <conditionalFormatting sqref="G70">
    <cfRule type="expression" dxfId="1023" priority="71">
      <formula>kvartal &lt; 4</formula>
    </cfRule>
  </conditionalFormatting>
  <conditionalFormatting sqref="F71:G71">
    <cfRule type="expression" dxfId="1022" priority="70">
      <formula>kvartal &lt; 4</formula>
    </cfRule>
  </conditionalFormatting>
  <conditionalFormatting sqref="F73:G74">
    <cfRule type="expression" dxfId="1021" priority="69">
      <formula>kvartal &lt; 4</formula>
    </cfRule>
  </conditionalFormatting>
  <conditionalFormatting sqref="F81:G82">
    <cfRule type="expression" dxfId="1020" priority="68">
      <formula>kvartal &lt; 4</formula>
    </cfRule>
  </conditionalFormatting>
  <conditionalFormatting sqref="F84:G85">
    <cfRule type="expression" dxfId="1019" priority="67">
      <formula>kvartal &lt; 4</formula>
    </cfRule>
  </conditionalFormatting>
  <conditionalFormatting sqref="F91:G92">
    <cfRule type="expression" dxfId="1018" priority="62">
      <formula>kvartal &lt; 4</formula>
    </cfRule>
  </conditionalFormatting>
  <conditionalFormatting sqref="F94:G95">
    <cfRule type="expression" dxfId="1017" priority="61">
      <formula>kvartal &lt; 4</formula>
    </cfRule>
  </conditionalFormatting>
  <conditionalFormatting sqref="F102:G103">
    <cfRule type="expression" dxfId="1016" priority="60">
      <formula>kvartal &lt; 4</formula>
    </cfRule>
  </conditionalFormatting>
  <conditionalFormatting sqref="F105:G106">
    <cfRule type="expression" dxfId="1015" priority="59">
      <formula>kvartal &lt; 4</formula>
    </cfRule>
  </conditionalFormatting>
  <conditionalFormatting sqref="F115">
    <cfRule type="expression" dxfId="1014" priority="58">
      <formula>kvartal &lt; 4</formula>
    </cfRule>
  </conditionalFormatting>
  <conditionalFormatting sqref="G115">
    <cfRule type="expression" dxfId="1013" priority="57">
      <formula>kvartal &lt; 4</formula>
    </cfRule>
  </conditionalFormatting>
  <conditionalFormatting sqref="F123:G123">
    <cfRule type="expression" dxfId="1012" priority="56">
      <formula>kvartal &lt; 4</formula>
    </cfRule>
  </conditionalFormatting>
  <conditionalFormatting sqref="F69:G69">
    <cfRule type="expression" dxfId="1011" priority="55">
      <formula>kvartal &lt; 4</formula>
    </cfRule>
  </conditionalFormatting>
  <conditionalFormatting sqref="F72:G72">
    <cfRule type="expression" dxfId="1010" priority="54">
      <formula>kvartal &lt; 4</formula>
    </cfRule>
  </conditionalFormatting>
  <conditionalFormatting sqref="F80:G80">
    <cfRule type="expression" dxfId="1009" priority="53">
      <formula>kvartal &lt; 4</formula>
    </cfRule>
  </conditionalFormatting>
  <conditionalFormatting sqref="F83:G83">
    <cfRule type="expression" dxfId="1008" priority="52">
      <formula>kvartal &lt; 4</formula>
    </cfRule>
  </conditionalFormatting>
  <conditionalFormatting sqref="F90:G90">
    <cfRule type="expression" dxfId="1007" priority="46">
      <formula>kvartal &lt; 4</formula>
    </cfRule>
  </conditionalFormatting>
  <conditionalFormatting sqref="F93">
    <cfRule type="expression" dxfId="1006" priority="45">
      <formula>kvartal &lt; 4</formula>
    </cfRule>
  </conditionalFormatting>
  <conditionalFormatting sqref="G93">
    <cfRule type="expression" dxfId="1005" priority="44">
      <formula>kvartal &lt; 4</formula>
    </cfRule>
  </conditionalFormatting>
  <conditionalFormatting sqref="F101">
    <cfRule type="expression" dxfId="1004" priority="43">
      <formula>kvartal &lt; 4</formula>
    </cfRule>
  </conditionalFormatting>
  <conditionalFormatting sqref="G101">
    <cfRule type="expression" dxfId="1003" priority="42">
      <formula>kvartal &lt; 4</formula>
    </cfRule>
  </conditionalFormatting>
  <conditionalFormatting sqref="G104">
    <cfRule type="expression" dxfId="1002" priority="41">
      <formula>kvartal &lt; 4</formula>
    </cfRule>
  </conditionalFormatting>
  <conditionalFormatting sqref="F104">
    <cfRule type="expression" dxfId="1001" priority="40">
      <formula>kvartal &lt; 4</formula>
    </cfRule>
  </conditionalFormatting>
  <conditionalFormatting sqref="J69:K73">
    <cfRule type="expression" dxfId="1000" priority="39">
      <formula>kvartal &lt; 4</formula>
    </cfRule>
  </conditionalFormatting>
  <conditionalFormatting sqref="J74:K74">
    <cfRule type="expression" dxfId="999" priority="38">
      <formula>kvartal &lt; 4</formula>
    </cfRule>
  </conditionalFormatting>
  <conditionalFormatting sqref="J80:K85">
    <cfRule type="expression" dxfId="998" priority="37">
      <formula>kvartal &lt; 4</formula>
    </cfRule>
  </conditionalFormatting>
  <conditionalFormatting sqref="J90:K95">
    <cfRule type="expression" dxfId="997" priority="34">
      <formula>kvartal &lt; 4</formula>
    </cfRule>
  </conditionalFormatting>
  <conditionalFormatting sqref="J101:K106">
    <cfRule type="expression" dxfId="996" priority="33">
      <formula>kvartal &lt; 4</formula>
    </cfRule>
  </conditionalFormatting>
  <conditionalFormatting sqref="J115:K115">
    <cfRule type="expression" dxfId="995" priority="32">
      <formula>kvartal &lt; 4</formula>
    </cfRule>
  </conditionalFormatting>
  <conditionalFormatting sqref="J123:K123">
    <cfRule type="expression" dxfId="994" priority="31">
      <formula>kvartal &lt; 4</formula>
    </cfRule>
  </conditionalFormatting>
  <conditionalFormatting sqref="A50:A52">
    <cfRule type="expression" dxfId="993" priority="12">
      <formula>kvartal &lt; 4</formula>
    </cfRule>
  </conditionalFormatting>
  <conditionalFormatting sqref="A69:A74">
    <cfRule type="expression" dxfId="992" priority="10">
      <formula>kvartal &lt; 4</formula>
    </cfRule>
  </conditionalFormatting>
  <conditionalFormatting sqref="A80:A85">
    <cfRule type="expression" dxfId="991" priority="9">
      <formula>kvartal &lt; 4</formula>
    </cfRule>
  </conditionalFormatting>
  <conditionalFormatting sqref="A90:A95">
    <cfRule type="expression" dxfId="990" priority="6">
      <formula>kvartal &lt; 4</formula>
    </cfRule>
  </conditionalFormatting>
  <conditionalFormatting sqref="A101:A106">
    <cfRule type="expression" dxfId="989" priority="5">
      <formula>kvartal &lt; 4</formula>
    </cfRule>
  </conditionalFormatting>
  <conditionalFormatting sqref="A115">
    <cfRule type="expression" dxfId="988" priority="4">
      <formula>kvartal &lt; 4</formula>
    </cfRule>
  </conditionalFormatting>
  <conditionalFormatting sqref="A123">
    <cfRule type="expression" dxfId="987" priority="3">
      <formula>kvartal &lt; 4</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64"/>
      <c r="C1" s="246" t="s">
        <v>63</v>
      </c>
      <c r="D1" s="26"/>
      <c r="E1" s="26"/>
      <c r="F1" s="26"/>
      <c r="G1" s="26"/>
      <c r="H1" s="26"/>
      <c r="I1" s="26"/>
      <c r="J1" s="26"/>
      <c r="K1" s="26"/>
      <c r="L1" s="26"/>
      <c r="M1" s="26"/>
    </row>
    <row r="2" spans="1:14" ht="15.75" x14ac:dyDescent="0.25">
      <c r="A2" s="165" t="s">
        <v>28</v>
      </c>
      <c r="B2" s="700"/>
      <c r="C2" s="700"/>
      <c r="D2" s="700"/>
      <c r="E2" s="297"/>
      <c r="F2" s="700"/>
      <c r="G2" s="700"/>
      <c r="H2" s="700"/>
      <c r="I2" s="297"/>
      <c r="J2" s="700"/>
      <c r="K2" s="700"/>
      <c r="L2" s="700"/>
      <c r="M2" s="297"/>
    </row>
    <row r="3" spans="1:14" ht="15.75" x14ac:dyDescent="0.25">
      <c r="A3" s="163"/>
      <c r="B3" s="297"/>
      <c r="C3" s="297"/>
      <c r="D3" s="297"/>
      <c r="E3" s="297"/>
      <c r="F3" s="297"/>
      <c r="G3" s="297"/>
      <c r="H3" s="297"/>
      <c r="I3" s="297"/>
      <c r="J3" s="297"/>
      <c r="K3" s="297"/>
      <c r="L3" s="297"/>
      <c r="M3" s="297"/>
    </row>
    <row r="4" spans="1:14" x14ac:dyDescent="0.2">
      <c r="A4" s="144"/>
      <c r="B4" s="696" t="s">
        <v>0</v>
      </c>
      <c r="C4" s="697"/>
      <c r="D4" s="697"/>
      <c r="E4" s="299"/>
      <c r="F4" s="696" t="s">
        <v>1</v>
      </c>
      <c r="G4" s="697"/>
      <c r="H4" s="697"/>
      <c r="I4" s="302"/>
      <c r="J4" s="696" t="s">
        <v>2</v>
      </c>
      <c r="K4" s="697"/>
      <c r="L4" s="697"/>
      <c r="M4" s="302"/>
    </row>
    <row r="5" spans="1:14" x14ac:dyDescent="0.2">
      <c r="A5" s="158"/>
      <c r="B5" s="152" t="s">
        <v>422</v>
      </c>
      <c r="C5" s="152" t="s">
        <v>423</v>
      </c>
      <c r="D5" s="243" t="s">
        <v>3</v>
      </c>
      <c r="E5" s="303" t="s">
        <v>29</v>
      </c>
      <c r="F5" s="152" t="s">
        <v>422</v>
      </c>
      <c r="G5" s="152" t="s">
        <v>423</v>
      </c>
      <c r="H5" s="243" t="s">
        <v>3</v>
      </c>
      <c r="I5" s="162" t="s">
        <v>29</v>
      </c>
      <c r="J5" s="152" t="s">
        <v>422</v>
      </c>
      <c r="K5" s="152" t="s">
        <v>423</v>
      </c>
      <c r="L5" s="243" t="s">
        <v>3</v>
      </c>
      <c r="M5" s="162" t="s">
        <v>29</v>
      </c>
    </row>
    <row r="6" spans="1:14" x14ac:dyDescent="0.2">
      <c r="A6" s="665"/>
      <c r="B6" s="156"/>
      <c r="C6" s="156"/>
      <c r="D6" s="244" t="s">
        <v>4</v>
      </c>
      <c r="E6" s="156" t="s">
        <v>30</v>
      </c>
      <c r="F6" s="161"/>
      <c r="G6" s="161"/>
      <c r="H6" s="243" t="s">
        <v>4</v>
      </c>
      <c r="I6" s="156" t="s">
        <v>30</v>
      </c>
      <c r="J6" s="161"/>
      <c r="K6" s="161"/>
      <c r="L6" s="243" t="s">
        <v>4</v>
      </c>
      <c r="M6" s="156" t="s">
        <v>30</v>
      </c>
    </row>
    <row r="7" spans="1:14" ht="15.75" x14ac:dyDescent="0.2">
      <c r="A7" s="14" t="s">
        <v>23</v>
      </c>
      <c r="B7" s="304"/>
      <c r="C7" s="305"/>
      <c r="D7" s="347"/>
      <c r="E7" s="11"/>
      <c r="F7" s="304"/>
      <c r="G7" s="305"/>
      <c r="H7" s="347"/>
      <c r="I7" s="160"/>
      <c r="J7" s="306"/>
      <c r="K7" s="307"/>
      <c r="L7" s="370"/>
      <c r="M7" s="11"/>
    </row>
    <row r="8" spans="1:14" ht="15.75" x14ac:dyDescent="0.2">
      <c r="A8" s="21" t="s">
        <v>25</v>
      </c>
      <c r="B8" s="279"/>
      <c r="C8" s="280"/>
      <c r="D8" s="166"/>
      <c r="E8" s="27"/>
      <c r="F8" s="283"/>
      <c r="G8" s="284"/>
      <c r="H8" s="166"/>
      <c r="I8" s="175"/>
      <c r="J8" s="232"/>
      <c r="K8" s="285"/>
      <c r="L8" s="252"/>
      <c r="M8" s="27"/>
    </row>
    <row r="9" spans="1:14" ht="15.75" x14ac:dyDescent="0.2">
      <c r="A9" s="21" t="s">
        <v>24</v>
      </c>
      <c r="B9" s="279"/>
      <c r="C9" s="280"/>
      <c r="D9" s="166"/>
      <c r="E9" s="27"/>
      <c r="F9" s="283"/>
      <c r="G9" s="284"/>
      <c r="H9" s="166"/>
      <c r="I9" s="175"/>
      <c r="J9" s="232"/>
      <c r="K9" s="285"/>
      <c r="L9" s="252"/>
      <c r="M9" s="27"/>
    </row>
    <row r="10" spans="1:14" ht="15.75" x14ac:dyDescent="0.2">
      <c r="A10" s="13" t="s">
        <v>371</v>
      </c>
      <c r="B10" s="308"/>
      <c r="C10" s="309"/>
      <c r="D10" s="171"/>
      <c r="E10" s="11"/>
      <c r="F10" s="308"/>
      <c r="G10" s="309"/>
      <c r="H10" s="171"/>
      <c r="I10" s="160"/>
      <c r="J10" s="306"/>
      <c r="K10" s="307"/>
      <c r="L10" s="371"/>
      <c r="M10" s="11"/>
    </row>
    <row r="11" spans="1:14" s="43" customFormat="1" ht="15.75" x14ac:dyDescent="0.2">
      <c r="A11" s="13" t="s">
        <v>372</v>
      </c>
      <c r="B11" s="308"/>
      <c r="C11" s="309"/>
      <c r="D11" s="171"/>
      <c r="E11" s="11"/>
      <c r="F11" s="308"/>
      <c r="G11" s="309"/>
      <c r="H11" s="171"/>
      <c r="I11" s="160"/>
      <c r="J11" s="306"/>
      <c r="K11" s="307"/>
      <c r="L11" s="371"/>
      <c r="M11" s="11"/>
      <c r="N11" s="143"/>
    </row>
    <row r="12" spans="1:14" s="43" customFormat="1" ht="15.75" x14ac:dyDescent="0.2">
      <c r="A12" s="41" t="s">
        <v>373</v>
      </c>
      <c r="B12" s="310"/>
      <c r="C12" s="311"/>
      <c r="D12" s="169"/>
      <c r="E12" s="36"/>
      <c r="F12" s="310"/>
      <c r="G12" s="311"/>
      <c r="H12" s="169"/>
      <c r="I12" s="169"/>
      <c r="J12" s="312"/>
      <c r="K12" s="313"/>
      <c r="L12" s="372"/>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95"/>
      <c r="C18" s="695"/>
      <c r="D18" s="695"/>
      <c r="E18" s="297"/>
      <c r="F18" s="695"/>
      <c r="G18" s="695"/>
      <c r="H18" s="695"/>
      <c r="I18" s="297"/>
      <c r="J18" s="695"/>
      <c r="K18" s="695"/>
      <c r="L18" s="695"/>
      <c r="M18" s="297"/>
    </row>
    <row r="19" spans="1:14" x14ac:dyDescent="0.2">
      <c r="A19" s="144"/>
      <c r="B19" s="696" t="s">
        <v>0</v>
      </c>
      <c r="C19" s="697"/>
      <c r="D19" s="697"/>
      <c r="E19" s="299"/>
      <c r="F19" s="696" t="s">
        <v>1</v>
      </c>
      <c r="G19" s="697"/>
      <c r="H19" s="697"/>
      <c r="I19" s="302"/>
      <c r="J19" s="696" t="s">
        <v>2</v>
      </c>
      <c r="K19" s="697"/>
      <c r="L19" s="697"/>
      <c r="M19" s="302"/>
    </row>
    <row r="20" spans="1:14" x14ac:dyDescent="0.2">
      <c r="A20" s="140" t="s">
        <v>5</v>
      </c>
      <c r="B20" s="152" t="s">
        <v>422</v>
      </c>
      <c r="C20" s="152" t="s">
        <v>423</v>
      </c>
      <c r="D20" s="162" t="s">
        <v>3</v>
      </c>
      <c r="E20" s="303" t="s">
        <v>29</v>
      </c>
      <c r="F20" s="152" t="s">
        <v>422</v>
      </c>
      <c r="G20" s="152" t="s">
        <v>423</v>
      </c>
      <c r="H20" s="162" t="s">
        <v>3</v>
      </c>
      <c r="I20" s="162" t="s">
        <v>29</v>
      </c>
      <c r="J20" s="152" t="s">
        <v>422</v>
      </c>
      <c r="K20" s="152" t="s">
        <v>423</v>
      </c>
      <c r="L20" s="162" t="s">
        <v>3</v>
      </c>
      <c r="M20" s="162" t="s">
        <v>29</v>
      </c>
    </row>
    <row r="21" spans="1:14" x14ac:dyDescent="0.2">
      <c r="A21" s="666"/>
      <c r="B21" s="156"/>
      <c r="C21" s="156"/>
      <c r="D21" s="244" t="s">
        <v>4</v>
      </c>
      <c r="E21" s="156" t="s">
        <v>30</v>
      </c>
      <c r="F21" s="161"/>
      <c r="G21" s="161"/>
      <c r="H21" s="243" t="s">
        <v>4</v>
      </c>
      <c r="I21" s="156" t="s">
        <v>30</v>
      </c>
      <c r="J21" s="161"/>
      <c r="K21" s="161"/>
      <c r="L21" s="156" t="s">
        <v>4</v>
      </c>
      <c r="M21" s="156" t="s">
        <v>30</v>
      </c>
    </row>
    <row r="22" spans="1:14" ht="15.75" x14ac:dyDescent="0.2">
      <c r="A22" s="14" t="s">
        <v>23</v>
      </c>
      <c r="B22" s="308"/>
      <c r="C22" s="308"/>
      <c r="D22" s="347"/>
      <c r="E22" s="11"/>
      <c r="F22" s="316"/>
      <c r="G22" s="316"/>
      <c r="H22" s="347"/>
      <c r="I22" s="11"/>
      <c r="J22" s="314"/>
      <c r="K22" s="314"/>
      <c r="L22" s="370"/>
      <c r="M22" s="24"/>
    </row>
    <row r="23" spans="1:14" ht="15.75" x14ac:dyDescent="0.2">
      <c r="A23" s="551" t="s">
        <v>374</v>
      </c>
      <c r="B23" s="279"/>
      <c r="C23" s="279"/>
      <c r="D23" s="166"/>
      <c r="E23" s="11"/>
      <c r="F23" s="288"/>
      <c r="G23" s="288"/>
      <c r="H23" s="166"/>
      <c r="I23" s="363"/>
      <c r="J23" s="288"/>
      <c r="K23" s="288"/>
      <c r="L23" s="166"/>
      <c r="M23" s="23"/>
    </row>
    <row r="24" spans="1:14" ht="15.75" x14ac:dyDescent="0.2">
      <c r="A24" s="551" t="s">
        <v>375</v>
      </c>
      <c r="B24" s="279"/>
      <c r="C24" s="279"/>
      <c r="D24" s="166"/>
      <c r="E24" s="11"/>
      <c r="F24" s="288"/>
      <c r="G24" s="288"/>
      <c r="H24" s="166"/>
      <c r="I24" s="363"/>
      <c r="J24" s="288"/>
      <c r="K24" s="288"/>
      <c r="L24" s="166"/>
      <c r="M24" s="23"/>
    </row>
    <row r="25" spans="1:14" ht="15.75" x14ac:dyDescent="0.2">
      <c r="A25" s="551" t="s">
        <v>376</v>
      </c>
      <c r="B25" s="279"/>
      <c r="C25" s="279"/>
      <c r="D25" s="166"/>
      <c r="E25" s="11"/>
      <c r="F25" s="288"/>
      <c r="G25" s="288"/>
      <c r="H25" s="166"/>
      <c r="I25" s="363"/>
      <c r="J25" s="288"/>
      <c r="K25" s="288"/>
      <c r="L25" s="166"/>
      <c r="M25" s="23"/>
    </row>
    <row r="26" spans="1:14" ht="15.75" x14ac:dyDescent="0.2">
      <c r="A26" s="551" t="s">
        <v>377</v>
      </c>
      <c r="B26" s="279"/>
      <c r="C26" s="279"/>
      <c r="D26" s="166"/>
      <c r="E26" s="11"/>
      <c r="F26" s="288"/>
      <c r="G26" s="288"/>
      <c r="H26" s="166"/>
      <c r="I26" s="363"/>
      <c r="J26" s="288"/>
      <c r="K26" s="288"/>
      <c r="L26" s="166"/>
      <c r="M26" s="23"/>
    </row>
    <row r="27" spans="1:14" x14ac:dyDescent="0.2">
      <c r="A27" s="551" t="s">
        <v>11</v>
      </c>
      <c r="B27" s="279"/>
      <c r="C27" s="279"/>
      <c r="D27" s="166"/>
      <c r="E27" s="11"/>
      <c r="F27" s="288"/>
      <c r="G27" s="288"/>
      <c r="H27" s="166"/>
      <c r="I27" s="363"/>
      <c r="J27" s="288"/>
      <c r="K27" s="288"/>
      <c r="L27" s="166"/>
      <c r="M27" s="23"/>
    </row>
    <row r="28" spans="1:14" ht="15.75" x14ac:dyDescent="0.2">
      <c r="A28" s="49" t="s">
        <v>282</v>
      </c>
      <c r="B28" s="44"/>
      <c r="C28" s="285"/>
      <c r="D28" s="166"/>
      <c r="E28" s="11"/>
      <c r="F28" s="232"/>
      <c r="G28" s="285"/>
      <c r="H28" s="166"/>
      <c r="I28" s="27"/>
      <c r="J28" s="44"/>
      <c r="K28" s="44"/>
      <c r="L28" s="252"/>
      <c r="M28" s="23"/>
    </row>
    <row r="29" spans="1:14" s="3" customFormat="1" ht="15.75" x14ac:dyDescent="0.2">
      <c r="A29" s="13" t="s">
        <v>371</v>
      </c>
      <c r="B29" s="234"/>
      <c r="C29" s="234"/>
      <c r="D29" s="171"/>
      <c r="E29" s="11"/>
      <c r="F29" s="306"/>
      <c r="G29" s="306"/>
      <c r="H29" s="171"/>
      <c r="I29" s="11"/>
      <c r="J29" s="234"/>
      <c r="K29" s="234"/>
      <c r="L29" s="371"/>
      <c r="M29" s="24"/>
      <c r="N29" s="148"/>
    </row>
    <row r="30" spans="1:14" s="3" customFormat="1" ht="15.75" x14ac:dyDescent="0.2">
      <c r="A30" s="551" t="s">
        <v>374</v>
      </c>
      <c r="B30" s="279"/>
      <c r="C30" s="279"/>
      <c r="D30" s="166"/>
      <c r="E30" s="11"/>
      <c r="F30" s="288"/>
      <c r="G30" s="288"/>
      <c r="H30" s="166"/>
      <c r="I30" s="363"/>
      <c r="J30" s="288"/>
      <c r="K30" s="288"/>
      <c r="L30" s="166"/>
      <c r="M30" s="23"/>
      <c r="N30" s="148"/>
    </row>
    <row r="31" spans="1:14" s="3" customFormat="1" ht="15.75" x14ac:dyDescent="0.2">
      <c r="A31" s="551" t="s">
        <v>375</v>
      </c>
      <c r="B31" s="279"/>
      <c r="C31" s="279"/>
      <c r="D31" s="166"/>
      <c r="E31" s="11"/>
      <c r="F31" s="288"/>
      <c r="G31" s="288"/>
      <c r="H31" s="166"/>
      <c r="I31" s="363"/>
      <c r="J31" s="288"/>
      <c r="K31" s="288"/>
      <c r="L31" s="166"/>
      <c r="M31" s="23"/>
      <c r="N31" s="148"/>
    </row>
    <row r="32" spans="1:14" ht="15.75" x14ac:dyDescent="0.2">
      <c r="A32" s="551" t="s">
        <v>376</v>
      </c>
      <c r="B32" s="279"/>
      <c r="C32" s="279"/>
      <c r="D32" s="166"/>
      <c r="E32" s="11"/>
      <c r="F32" s="288"/>
      <c r="G32" s="288"/>
      <c r="H32" s="166"/>
      <c r="I32" s="363"/>
      <c r="J32" s="288"/>
      <c r="K32" s="288"/>
      <c r="L32" s="166"/>
      <c r="M32" s="23"/>
    </row>
    <row r="33" spans="1:14" ht="15.75" x14ac:dyDescent="0.2">
      <c r="A33" s="551" t="s">
        <v>377</v>
      </c>
      <c r="B33" s="279"/>
      <c r="C33" s="279"/>
      <c r="D33" s="166"/>
      <c r="E33" s="11"/>
      <c r="F33" s="288"/>
      <c r="G33" s="288"/>
      <c r="H33" s="166"/>
      <c r="I33" s="363"/>
      <c r="J33" s="288"/>
      <c r="K33" s="288"/>
      <c r="L33" s="166"/>
      <c r="M33" s="23"/>
    </row>
    <row r="34" spans="1:14" ht="15.75" x14ac:dyDescent="0.2">
      <c r="A34" s="13" t="s">
        <v>372</v>
      </c>
      <c r="B34" s="234"/>
      <c r="C34" s="307"/>
      <c r="D34" s="171"/>
      <c r="E34" s="11"/>
      <c r="F34" s="306"/>
      <c r="G34" s="307"/>
      <c r="H34" s="171"/>
      <c r="I34" s="11"/>
      <c r="J34" s="234"/>
      <c r="K34" s="234"/>
      <c r="L34" s="371"/>
      <c r="M34" s="24"/>
    </row>
    <row r="35" spans="1:14" ht="15.75" x14ac:dyDescent="0.2">
      <c r="A35" s="13" t="s">
        <v>373</v>
      </c>
      <c r="B35" s="234"/>
      <c r="C35" s="307"/>
      <c r="D35" s="171"/>
      <c r="E35" s="11"/>
      <c r="F35" s="306"/>
      <c r="G35" s="307"/>
      <c r="H35" s="171"/>
      <c r="I35" s="11"/>
      <c r="J35" s="234"/>
      <c r="K35" s="234"/>
      <c r="L35" s="371"/>
      <c r="M35" s="24"/>
    </row>
    <row r="36" spans="1:14" ht="15.75" x14ac:dyDescent="0.2">
      <c r="A36" s="12" t="s">
        <v>290</v>
      </c>
      <c r="B36" s="234"/>
      <c r="C36" s="307"/>
      <c r="D36" s="171"/>
      <c r="E36" s="11"/>
      <c r="F36" s="317"/>
      <c r="G36" s="318"/>
      <c r="H36" s="171"/>
      <c r="I36" s="377"/>
      <c r="J36" s="234"/>
      <c r="K36" s="234"/>
      <c r="L36" s="371"/>
      <c r="M36" s="24"/>
    </row>
    <row r="37" spans="1:14" ht="15.75" x14ac:dyDescent="0.2">
      <c r="A37" s="12" t="s">
        <v>379</v>
      </c>
      <c r="B37" s="234"/>
      <c r="C37" s="307"/>
      <c r="D37" s="171"/>
      <c r="E37" s="11"/>
      <c r="F37" s="317"/>
      <c r="G37" s="319"/>
      <c r="H37" s="171"/>
      <c r="I37" s="377"/>
      <c r="J37" s="234"/>
      <c r="K37" s="234"/>
      <c r="L37" s="371"/>
      <c r="M37" s="24"/>
    </row>
    <row r="38" spans="1:14" ht="15.75" x14ac:dyDescent="0.2">
      <c r="A38" s="12" t="s">
        <v>380</v>
      </c>
      <c r="B38" s="234"/>
      <c r="C38" s="307"/>
      <c r="D38" s="171"/>
      <c r="E38" s="24"/>
      <c r="F38" s="317"/>
      <c r="G38" s="318"/>
      <c r="H38" s="171"/>
      <c r="I38" s="377"/>
      <c r="J38" s="234"/>
      <c r="K38" s="234"/>
      <c r="L38" s="371"/>
      <c r="M38" s="24"/>
    </row>
    <row r="39" spans="1:14" ht="15.75" x14ac:dyDescent="0.2">
      <c r="A39" s="18" t="s">
        <v>381</v>
      </c>
      <c r="B39" s="274"/>
      <c r="C39" s="313"/>
      <c r="D39" s="169"/>
      <c r="E39" s="36"/>
      <c r="F39" s="320"/>
      <c r="G39" s="321"/>
      <c r="H39" s="169"/>
      <c r="I39" s="36"/>
      <c r="J39" s="234"/>
      <c r="K39" s="234"/>
      <c r="L39" s="372"/>
      <c r="M39" s="36"/>
    </row>
    <row r="40" spans="1:14" ht="15.75" x14ac:dyDescent="0.25">
      <c r="A40" s="47"/>
      <c r="B40" s="251"/>
      <c r="C40" s="251"/>
      <c r="D40" s="699"/>
      <c r="E40" s="699"/>
      <c r="F40" s="699"/>
      <c r="G40" s="699"/>
      <c r="H40" s="699"/>
      <c r="I40" s="699"/>
      <c r="J40" s="699"/>
      <c r="K40" s="699"/>
      <c r="L40" s="699"/>
      <c r="M40" s="300"/>
    </row>
    <row r="41" spans="1:14" x14ac:dyDescent="0.2">
      <c r="A41" s="155"/>
    </row>
    <row r="42" spans="1:14" ht="15.75" x14ac:dyDescent="0.25">
      <c r="A42" s="147" t="s">
        <v>279</v>
      </c>
      <c r="B42" s="700"/>
      <c r="C42" s="700"/>
      <c r="D42" s="700"/>
      <c r="E42" s="297"/>
      <c r="F42" s="701"/>
      <c r="G42" s="701"/>
      <c r="H42" s="701"/>
      <c r="I42" s="300"/>
      <c r="J42" s="701"/>
      <c r="K42" s="701"/>
      <c r="L42" s="701"/>
      <c r="M42" s="300"/>
    </row>
    <row r="43" spans="1:14" ht="15.75" x14ac:dyDescent="0.25">
      <c r="A43" s="163"/>
      <c r="B43" s="301"/>
      <c r="C43" s="301"/>
      <c r="D43" s="301"/>
      <c r="E43" s="301"/>
      <c r="F43" s="300"/>
      <c r="G43" s="300"/>
      <c r="H43" s="300"/>
      <c r="I43" s="300"/>
      <c r="J43" s="300"/>
      <c r="K43" s="300"/>
      <c r="L43" s="300"/>
      <c r="M43" s="300"/>
    </row>
    <row r="44" spans="1:14" ht="15.75" x14ac:dyDescent="0.25">
      <c r="A44" s="245"/>
      <c r="B44" s="696" t="s">
        <v>0</v>
      </c>
      <c r="C44" s="697"/>
      <c r="D44" s="697"/>
      <c r="E44" s="241"/>
      <c r="F44" s="300"/>
      <c r="G44" s="300"/>
      <c r="H44" s="300"/>
      <c r="I44" s="300"/>
      <c r="J44" s="300"/>
      <c r="K44" s="300"/>
      <c r="L44" s="300"/>
      <c r="M44" s="300"/>
    </row>
    <row r="45" spans="1:14" s="3" customFormat="1" x14ac:dyDescent="0.2">
      <c r="A45" s="140"/>
      <c r="B45" s="152" t="s">
        <v>422</v>
      </c>
      <c r="C45" s="152" t="s">
        <v>423</v>
      </c>
      <c r="D45" s="162" t="s">
        <v>3</v>
      </c>
      <c r="E45" s="162" t="s">
        <v>29</v>
      </c>
      <c r="F45" s="174"/>
      <c r="G45" s="174"/>
      <c r="H45" s="173"/>
      <c r="I45" s="173"/>
      <c r="J45" s="174"/>
      <c r="K45" s="174"/>
      <c r="L45" s="173"/>
      <c r="M45" s="173"/>
      <c r="N45" s="148"/>
    </row>
    <row r="46" spans="1:14" s="3" customFormat="1" x14ac:dyDescent="0.2">
      <c r="A46" s="666"/>
      <c r="B46" s="242"/>
      <c r="C46" s="242"/>
      <c r="D46" s="243" t="s">
        <v>4</v>
      </c>
      <c r="E46" s="156" t="s">
        <v>30</v>
      </c>
      <c r="F46" s="173"/>
      <c r="G46" s="173"/>
      <c r="H46" s="173"/>
      <c r="I46" s="173"/>
      <c r="J46" s="173"/>
      <c r="K46" s="173"/>
      <c r="L46" s="173"/>
      <c r="M46" s="173"/>
      <c r="N46" s="148"/>
    </row>
    <row r="47" spans="1:14" s="3" customFormat="1" ht="15.75" x14ac:dyDescent="0.2">
      <c r="A47" s="14" t="s">
        <v>23</v>
      </c>
      <c r="B47" s="308">
        <v>3097.0654399999999</v>
      </c>
      <c r="C47" s="309">
        <v>2704.9936499999999</v>
      </c>
      <c r="D47" s="370">
        <f t="shared" ref="D47:D48" si="0">IF(B47=0, "    ---- ", IF(ABS(ROUND(100/B47*C47-100,1))&lt;999,ROUND(100/B47*C47-100,1),IF(ROUND(100/B47*C47-100,1)&gt;999,999,-999)))</f>
        <v>-12.7</v>
      </c>
      <c r="E47" s="11">
        <f>IFERROR(100/'Skjema total MA'!C47*C47,0)</f>
        <v>8.3784712358541277E-2</v>
      </c>
      <c r="F47" s="145"/>
      <c r="G47" s="33"/>
      <c r="H47" s="159"/>
      <c r="I47" s="159"/>
      <c r="J47" s="37"/>
      <c r="K47" s="37"/>
      <c r="L47" s="159"/>
      <c r="M47" s="159"/>
      <c r="N47" s="148"/>
    </row>
    <row r="48" spans="1:14" s="3" customFormat="1" ht="15.75" x14ac:dyDescent="0.2">
      <c r="A48" s="38" t="s">
        <v>382</v>
      </c>
      <c r="B48" s="279">
        <v>862.09532000000002</v>
      </c>
      <c r="C48" s="280">
        <v>852.63232000000005</v>
      </c>
      <c r="D48" s="252">
        <f t="shared" si="0"/>
        <v>-1.1000000000000001</v>
      </c>
      <c r="E48" s="27">
        <f>IFERROR(100/'Skjema total MA'!C48*C48,0)</f>
        <v>4.6924800122369249E-2</v>
      </c>
      <c r="F48" s="145"/>
      <c r="G48" s="33"/>
      <c r="H48" s="145"/>
      <c r="I48" s="145"/>
      <c r="J48" s="33"/>
      <c r="K48" s="33"/>
      <c r="L48" s="159"/>
      <c r="M48" s="159"/>
      <c r="N48" s="148"/>
    </row>
    <row r="49" spans="1:14" s="3" customFormat="1" ht="15.75" x14ac:dyDescent="0.2">
      <c r="A49" s="38" t="s">
        <v>383</v>
      </c>
      <c r="B49" s="44">
        <v>2234.97012</v>
      </c>
      <c r="C49" s="285">
        <v>1852.36133</v>
      </c>
      <c r="D49" s="252">
        <f>IF(B49=0, "    ---- ", IF(ABS(ROUND(100/B49*C49-100,1))&lt;999,ROUND(100/B49*C49-100,1),IF(ROUND(100/B49*C49-100,1)&gt;999,999,-999)))</f>
        <v>-17.100000000000001</v>
      </c>
      <c r="E49" s="27">
        <f>IFERROR(100/'Skjema total MA'!C49*C49,0)</f>
        <v>0.13123479062528842</v>
      </c>
      <c r="F49" s="145"/>
      <c r="G49" s="33"/>
      <c r="H49" s="145"/>
      <c r="I49" s="145"/>
      <c r="J49" s="37"/>
      <c r="K49" s="37"/>
      <c r="L49" s="159"/>
      <c r="M49" s="159"/>
      <c r="N49" s="148"/>
    </row>
    <row r="50" spans="1:14" s="3" customFormat="1" x14ac:dyDescent="0.2">
      <c r="A50" s="294" t="s">
        <v>6</v>
      </c>
      <c r="B50" s="288"/>
      <c r="C50" s="289"/>
      <c r="D50" s="252"/>
      <c r="E50" s="23"/>
      <c r="F50" s="145"/>
      <c r="G50" s="33"/>
      <c r="H50" s="145"/>
      <c r="I50" s="145"/>
      <c r="J50" s="33"/>
      <c r="K50" s="33"/>
      <c r="L50" s="159"/>
      <c r="M50" s="159"/>
      <c r="N50" s="148"/>
    </row>
    <row r="51" spans="1:14" s="3" customFormat="1" x14ac:dyDescent="0.2">
      <c r="A51" s="294" t="s">
        <v>7</v>
      </c>
      <c r="B51" s="288"/>
      <c r="C51" s="289"/>
      <c r="D51" s="252"/>
      <c r="E51" s="23"/>
      <c r="F51" s="145"/>
      <c r="G51" s="33"/>
      <c r="H51" s="145"/>
      <c r="I51" s="145"/>
      <c r="J51" s="33"/>
      <c r="K51" s="33"/>
      <c r="L51" s="159"/>
      <c r="M51" s="159"/>
      <c r="N51" s="148"/>
    </row>
    <row r="52" spans="1:14" s="3" customFormat="1" x14ac:dyDescent="0.2">
      <c r="A52" s="294" t="s">
        <v>8</v>
      </c>
      <c r="B52" s="288"/>
      <c r="C52" s="289"/>
      <c r="D52" s="252"/>
      <c r="E52" s="23"/>
      <c r="F52" s="145"/>
      <c r="G52" s="33"/>
      <c r="H52" s="145"/>
      <c r="I52" s="145"/>
      <c r="J52" s="33"/>
      <c r="K52" s="33"/>
      <c r="L52" s="159"/>
      <c r="M52" s="159"/>
      <c r="N52" s="148"/>
    </row>
    <row r="53" spans="1:14" s="3" customFormat="1" ht="15.75" x14ac:dyDescent="0.2">
      <c r="A53" s="39" t="s">
        <v>384</v>
      </c>
      <c r="B53" s="308"/>
      <c r="C53" s="309"/>
      <c r="D53" s="371"/>
      <c r="E53" s="11"/>
      <c r="F53" s="145"/>
      <c r="G53" s="33"/>
      <c r="H53" s="145"/>
      <c r="I53" s="145"/>
      <c r="J53" s="33"/>
      <c r="K53" s="33"/>
      <c r="L53" s="159"/>
      <c r="M53" s="159"/>
      <c r="N53" s="148"/>
    </row>
    <row r="54" spans="1:14" s="3" customFormat="1" ht="15.75" x14ac:dyDescent="0.2">
      <c r="A54" s="38" t="s">
        <v>382</v>
      </c>
      <c r="B54" s="279"/>
      <c r="C54" s="280"/>
      <c r="D54" s="252"/>
      <c r="E54" s="27"/>
      <c r="F54" s="145"/>
      <c r="G54" s="33"/>
      <c r="H54" s="145"/>
      <c r="I54" s="145"/>
      <c r="J54" s="33"/>
      <c r="K54" s="33"/>
      <c r="L54" s="159"/>
      <c r="M54" s="159"/>
      <c r="N54" s="148"/>
    </row>
    <row r="55" spans="1:14" s="3" customFormat="1" ht="15.75" x14ac:dyDescent="0.2">
      <c r="A55" s="38" t="s">
        <v>383</v>
      </c>
      <c r="B55" s="279"/>
      <c r="C55" s="280"/>
      <c r="D55" s="252"/>
      <c r="E55" s="27"/>
      <c r="F55" s="145"/>
      <c r="G55" s="33"/>
      <c r="H55" s="145"/>
      <c r="I55" s="145"/>
      <c r="J55" s="33"/>
      <c r="K55" s="33"/>
      <c r="L55" s="159"/>
      <c r="M55" s="159"/>
      <c r="N55" s="148"/>
    </row>
    <row r="56" spans="1:14" s="3" customFormat="1" ht="15.75" x14ac:dyDescent="0.2">
      <c r="A56" s="39" t="s">
        <v>385</v>
      </c>
      <c r="B56" s="308"/>
      <c r="C56" s="309"/>
      <c r="D56" s="371"/>
      <c r="E56" s="11"/>
      <c r="F56" s="145"/>
      <c r="G56" s="33"/>
      <c r="H56" s="145"/>
      <c r="I56" s="145"/>
      <c r="J56" s="33"/>
      <c r="K56" s="33"/>
      <c r="L56" s="159"/>
      <c r="M56" s="159"/>
      <c r="N56" s="148"/>
    </row>
    <row r="57" spans="1:14" s="3" customFormat="1" ht="15.75" x14ac:dyDescent="0.2">
      <c r="A57" s="38" t="s">
        <v>382</v>
      </c>
      <c r="B57" s="279"/>
      <c r="C57" s="280"/>
      <c r="D57" s="252"/>
      <c r="E57" s="27"/>
      <c r="F57" s="145"/>
      <c r="G57" s="33"/>
      <c r="H57" s="145"/>
      <c r="I57" s="145"/>
      <c r="J57" s="33"/>
      <c r="K57" s="33"/>
      <c r="L57" s="159"/>
      <c r="M57" s="159"/>
      <c r="N57" s="148"/>
    </row>
    <row r="58" spans="1:14" s="3" customFormat="1" ht="15.75" x14ac:dyDescent="0.2">
      <c r="A58" s="46" t="s">
        <v>383</v>
      </c>
      <c r="B58" s="281"/>
      <c r="C58" s="282"/>
      <c r="D58" s="253"/>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95"/>
      <c r="C62" s="695"/>
      <c r="D62" s="695"/>
      <c r="E62" s="297"/>
      <c r="F62" s="695"/>
      <c r="G62" s="695"/>
      <c r="H62" s="695"/>
      <c r="I62" s="297"/>
      <c r="J62" s="695"/>
      <c r="K62" s="695"/>
      <c r="L62" s="695"/>
      <c r="M62" s="297"/>
    </row>
    <row r="63" spans="1:14" x14ac:dyDescent="0.2">
      <c r="A63" s="144"/>
      <c r="B63" s="696" t="s">
        <v>0</v>
      </c>
      <c r="C63" s="697"/>
      <c r="D63" s="698"/>
      <c r="E63" s="298"/>
      <c r="F63" s="697" t="s">
        <v>1</v>
      </c>
      <c r="G63" s="697"/>
      <c r="H63" s="697"/>
      <c r="I63" s="302"/>
      <c r="J63" s="696" t="s">
        <v>2</v>
      </c>
      <c r="K63" s="697"/>
      <c r="L63" s="697"/>
      <c r="M63" s="302"/>
    </row>
    <row r="64" spans="1:14" x14ac:dyDescent="0.2">
      <c r="A64" s="140"/>
      <c r="B64" s="152" t="s">
        <v>422</v>
      </c>
      <c r="C64" s="152" t="s">
        <v>423</v>
      </c>
      <c r="D64" s="243" t="s">
        <v>3</v>
      </c>
      <c r="E64" s="303" t="s">
        <v>29</v>
      </c>
      <c r="F64" s="152" t="s">
        <v>422</v>
      </c>
      <c r="G64" s="152" t="s">
        <v>423</v>
      </c>
      <c r="H64" s="243" t="s">
        <v>3</v>
      </c>
      <c r="I64" s="303" t="s">
        <v>29</v>
      </c>
      <c r="J64" s="152" t="s">
        <v>422</v>
      </c>
      <c r="K64" s="152" t="s">
        <v>423</v>
      </c>
      <c r="L64" s="243" t="s">
        <v>3</v>
      </c>
      <c r="M64" s="162" t="s">
        <v>29</v>
      </c>
    </row>
    <row r="65" spans="1:14" x14ac:dyDescent="0.2">
      <c r="A65" s="666"/>
      <c r="B65" s="156"/>
      <c r="C65" s="156"/>
      <c r="D65" s="244" t="s">
        <v>4</v>
      </c>
      <c r="E65" s="156" t="s">
        <v>30</v>
      </c>
      <c r="F65" s="161"/>
      <c r="G65" s="161"/>
      <c r="H65" s="243" t="s">
        <v>4</v>
      </c>
      <c r="I65" s="156" t="s">
        <v>30</v>
      </c>
      <c r="J65" s="161"/>
      <c r="K65" s="205"/>
      <c r="L65" s="156" t="s">
        <v>4</v>
      </c>
      <c r="M65" s="156" t="s">
        <v>30</v>
      </c>
    </row>
    <row r="66" spans="1:14" ht="15.75" x14ac:dyDescent="0.2">
      <c r="A66" s="14" t="s">
        <v>23</v>
      </c>
      <c r="B66" s="350"/>
      <c r="C66" s="350"/>
      <c r="D66" s="347"/>
      <c r="E66" s="11"/>
      <c r="F66" s="349"/>
      <c r="G66" s="349"/>
      <c r="H66" s="347"/>
      <c r="I66" s="11"/>
      <c r="J66" s="307"/>
      <c r="K66" s="314"/>
      <c r="L66" s="371"/>
      <c r="M66" s="11"/>
    </row>
    <row r="67" spans="1:14" x14ac:dyDescent="0.2">
      <c r="A67" s="365" t="s">
        <v>9</v>
      </c>
      <c r="B67" s="44"/>
      <c r="C67" s="145"/>
      <c r="D67" s="166"/>
      <c r="E67" s="27"/>
      <c r="F67" s="232"/>
      <c r="G67" s="145"/>
      <c r="H67" s="166"/>
      <c r="I67" s="27"/>
      <c r="J67" s="285"/>
      <c r="K67" s="44"/>
      <c r="L67" s="252"/>
      <c r="M67" s="27"/>
    </row>
    <row r="68" spans="1:14" x14ac:dyDescent="0.2">
      <c r="A68" s="21" t="s">
        <v>10</v>
      </c>
      <c r="B68" s="290"/>
      <c r="C68" s="291"/>
      <c r="D68" s="166"/>
      <c r="E68" s="27"/>
      <c r="F68" s="290"/>
      <c r="G68" s="291"/>
      <c r="H68" s="166"/>
      <c r="I68" s="27"/>
      <c r="J68" s="285"/>
      <c r="K68" s="44"/>
      <c r="L68" s="252"/>
      <c r="M68" s="27"/>
    </row>
    <row r="69" spans="1:14" ht="15.75" x14ac:dyDescent="0.2">
      <c r="A69" s="294" t="s">
        <v>386</v>
      </c>
      <c r="B69" s="279"/>
      <c r="C69" s="279"/>
      <c r="D69" s="166"/>
      <c r="E69" s="363"/>
      <c r="F69" s="279"/>
      <c r="G69" s="279"/>
      <c r="H69" s="166"/>
      <c r="I69" s="363"/>
      <c r="J69" s="288"/>
      <c r="K69" s="288"/>
      <c r="L69" s="166"/>
      <c r="M69" s="23"/>
    </row>
    <row r="70" spans="1:14" x14ac:dyDescent="0.2">
      <c r="A70" s="294" t="s">
        <v>12</v>
      </c>
      <c r="B70" s="292"/>
      <c r="C70" s="293"/>
      <c r="D70" s="166"/>
      <c r="E70" s="363"/>
      <c r="F70" s="279"/>
      <c r="G70" s="279"/>
      <c r="H70" s="166"/>
      <c r="I70" s="363"/>
      <c r="J70" s="288"/>
      <c r="K70" s="288"/>
      <c r="L70" s="166"/>
      <c r="M70" s="23"/>
    </row>
    <row r="71" spans="1:14" x14ac:dyDescent="0.2">
      <c r="A71" s="294" t="s">
        <v>13</v>
      </c>
      <c r="B71" s="233"/>
      <c r="C71" s="287"/>
      <c r="D71" s="166"/>
      <c r="E71" s="363"/>
      <c r="F71" s="279"/>
      <c r="G71" s="279"/>
      <c r="H71" s="166"/>
      <c r="I71" s="363"/>
      <c r="J71" s="288"/>
      <c r="K71" s="288"/>
      <c r="L71" s="166"/>
      <c r="M71" s="23"/>
    </row>
    <row r="72" spans="1:14" ht="15.75" x14ac:dyDescent="0.2">
      <c r="A72" s="294" t="s">
        <v>387</v>
      </c>
      <c r="B72" s="279"/>
      <c r="C72" s="279"/>
      <c r="D72" s="166"/>
      <c r="E72" s="363"/>
      <c r="F72" s="279"/>
      <c r="G72" s="279"/>
      <c r="H72" s="166"/>
      <c r="I72" s="363"/>
      <c r="J72" s="288"/>
      <c r="K72" s="288"/>
      <c r="L72" s="166"/>
      <c r="M72" s="23"/>
    </row>
    <row r="73" spans="1:14" x14ac:dyDescent="0.2">
      <c r="A73" s="294" t="s">
        <v>12</v>
      </c>
      <c r="B73" s="233"/>
      <c r="C73" s="287"/>
      <c r="D73" s="166"/>
      <c r="E73" s="363"/>
      <c r="F73" s="279"/>
      <c r="G73" s="279"/>
      <c r="H73" s="166"/>
      <c r="I73" s="363"/>
      <c r="J73" s="288"/>
      <c r="K73" s="288"/>
      <c r="L73" s="166"/>
      <c r="M73" s="23"/>
    </row>
    <row r="74" spans="1:14" s="3" customFormat="1" x14ac:dyDescent="0.2">
      <c r="A74" s="294" t="s">
        <v>13</v>
      </c>
      <c r="B74" s="233"/>
      <c r="C74" s="287"/>
      <c r="D74" s="166"/>
      <c r="E74" s="363"/>
      <c r="F74" s="279"/>
      <c r="G74" s="279"/>
      <c r="H74" s="166"/>
      <c r="I74" s="363"/>
      <c r="J74" s="288"/>
      <c r="K74" s="288"/>
      <c r="L74" s="166"/>
      <c r="M74" s="23"/>
      <c r="N74" s="148"/>
    </row>
    <row r="75" spans="1:14" s="3" customFormat="1" x14ac:dyDescent="0.2">
      <c r="A75" s="21" t="s">
        <v>356</v>
      </c>
      <c r="B75" s="232"/>
      <c r="C75" s="145"/>
      <c r="D75" s="166"/>
      <c r="E75" s="27"/>
      <c r="F75" s="232"/>
      <c r="G75" s="145"/>
      <c r="H75" s="166"/>
      <c r="I75" s="27"/>
      <c r="J75" s="285"/>
      <c r="K75" s="44"/>
      <c r="L75" s="252"/>
      <c r="M75" s="27"/>
      <c r="N75" s="148"/>
    </row>
    <row r="76" spans="1:14" s="3" customFormat="1" x14ac:dyDescent="0.2">
      <c r="A76" s="21" t="s">
        <v>355</v>
      </c>
      <c r="B76" s="232"/>
      <c r="C76" s="145"/>
      <c r="D76" s="166"/>
      <c r="E76" s="27"/>
      <c r="F76" s="232"/>
      <c r="G76" s="145"/>
      <c r="H76" s="166"/>
      <c r="I76" s="27"/>
      <c r="J76" s="285"/>
      <c r="K76" s="44"/>
      <c r="L76" s="252"/>
      <c r="M76" s="27"/>
      <c r="N76" s="148"/>
    </row>
    <row r="77" spans="1:14" ht="15.75" x14ac:dyDescent="0.2">
      <c r="A77" s="21" t="s">
        <v>388</v>
      </c>
      <c r="B77" s="232"/>
      <c r="C77" s="232"/>
      <c r="D77" s="166"/>
      <c r="E77" s="27"/>
      <c r="F77" s="232"/>
      <c r="G77" s="145"/>
      <c r="H77" s="166"/>
      <c r="I77" s="27"/>
      <c r="J77" s="285"/>
      <c r="K77" s="44"/>
      <c r="L77" s="252"/>
      <c r="M77" s="27"/>
    </row>
    <row r="78" spans="1:14" x14ac:dyDescent="0.2">
      <c r="A78" s="21" t="s">
        <v>9</v>
      </c>
      <c r="B78" s="232"/>
      <c r="C78" s="145"/>
      <c r="D78" s="166"/>
      <c r="E78" s="27"/>
      <c r="F78" s="232"/>
      <c r="G78" s="145"/>
      <c r="H78" s="166"/>
      <c r="I78" s="27"/>
      <c r="J78" s="285"/>
      <c r="K78" s="44"/>
      <c r="L78" s="252"/>
      <c r="M78" s="27"/>
    </row>
    <row r="79" spans="1:14" x14ac:dyDescent="0.2">
      <c r="A79" s="21" t="s">
        <v>10</v>
      </c>
      <c r="B79" s="290"/>
      <c r="C79" s="291"/>
      <c r="D79" s="166"/>
      <c r="E79" s="27"/>
      <c r="F79" s="290"/>
      <c r="G79" s="291"/>
      <c r="H79" s="166"/>
      <c r="I79" s="27"/>
      <c r="J79" s="285"/>
      <c r="K79" s="44"/>
      <c r="L79" s="252"/>
      <c r="M79" s="27"/>
    </row>
    <row r="80" spans="1:14" ht="15.75" x14ac:dyDescent="0.2">
      <c r="A80" s="294" t="s">
        <v>386</v>
      </c>
      <c r="B80" s="279"/>
      <c r="C80" s="279"/>
      <c r="D80" s="166"/>
      <c r="E80" s="363"/>
      <c r="F80" s="279"/>
      <c r="G80" s="279"/>
      <c r="H80" s="166"/>
      <c r="I80" s="363"/>
      <c r="J80" s="288"/>
      <c r="K80" s="288"/>
      <c r="L80" s="166"/>
      <c r="M80" s="23"/>
    </row>
    <row r="81" spans="1:13" x14ac:dyDescent="0.2">
      <c r="A81" s="294" t="s">
        <v>12</v>
      </c>
      <c r="B81" s="233"/>
      <c r="C81" s="287"/>
      <c r="D81" s="166"/>
      <c r="E81" s="363"/>
      <c r="F81" s="279"/>
      <c r="G81" s="279"/>
      <c r="H81" s="166"/>
      <c r="I81" s="363"/>
      <c r="J81" s="288"/>
      <c r="K81" s="288"/>
      <c r="L81" s="166"/>
      <c r="M81" s="23"/>
    </row>
    <row r="82" spans="1:13" x14ac:dyDescent="0.2">
      <c r="A82" s="294" t="s">
        <v>13</v>
      </c>
      <c r="B82" s="233"/>
      <c r="C82" s="287"/>
      <c r="D82" s="166"/>
      <c r="E82" s="363"/>
      <c r="F82" s="279"/>
      <c r="G82" s="279"/>
      <c r="H82" s="166"/>
      <c r="I82" s="363"/>
      <c r="J82" s="288"/>
      <c r="K82" s="288"/>
      <c r="L82" s="166"/>
      <c r="M82" s="23"/>
    </row>
    <row r="83" spans="1:13" ht="15.75" x14ac:dyDescent="0.2">
      <c r="A83" s="294" t="s">
        <v>387</v>
      </c>
      <c r="B83" s="279"/>
      <c r="C83" s="279"/>
      <c r="D83" s="166"/>
      <c r="E83" s="363"/>
      <c r="F83" s="279"/>
      <c r="G83" s="279"/>
      <c r="H83" s="166"/>
      <c r="I83" s="363"/>
      <c r="J83" s="288"/>
      <c r="K83" s="288"/>
      <c r="L83" s="166"/>
      <c r="M83" s="23"/>
    </row>
    <row r="84" spans="1:13" x14ac:dyDescent="0.2">
      <c r="A84" s="294" t="s">
        <v>12</v>
      </c>
      <c r="B84" s="233"/>
      <c r="C84" s="287"/>
      <c r="D84" s="166"/>
      <c r="E84" s="363"/>
      <c r="F84" s="279"/>
      <c r="G84" s="279"/>
      <c r="H84" s="166"/>
      <c r="I84" s="363"/>
      <c r="J84" s="288"/>
      <c r="K84" s="288"/>
      <c r="L84" s="166"/>
      <c r="M84" s="23"/>
    </row>
    <row r="85" spans="1:13" x14ac:dyDescent="0.2">
      <c r="A85" s="294" t="s">
        <v>13</v>
      </c>
      <c r="B85" s="233"/>
      <c r="C85" s="287"/>
      <c r="D85" s="166"/>
      <c r="E85" s="363"/>
      <c r="F85" s="279"/>
      <c r="G85" s="279"/>
      <c r="H85" s="166"/>
      <c r="I85" s="363"/>
      <c r="J85" s="288"/>
      <c r="K85" s="288"/>
      <c r="L85" s="166"/>
      <c r="M85" s="23"/>
    </row>
    <row r="86" spans="1:13" ht="15.75" x14ac:dyDescent="0.2">
      <c r="A86" s="21" t="s">
        <v>389</v>
      </c>
      <c r="B86" s="232"/>
      <c r="C86" s="145"/>
      <c r="D86" s="166"/>
      <c r="E86" s="27"/>
      <c r="F86" s="232"/>
      <c r="G86" s="145"/>
      <c r="H86" s="166"/>
      <c r="I86" s="27"/>
      <c r="J86" s="285"/>
      <c r="K86" s="44"/>
      <c r="L86" s="252"/>
      <c r="M86" s="27"/>
    </row>
    <row r="87" spans="1:13" ht="15.75" x14ac:dyDescent="0.2">
      <c r="A87" s="13" t="s">
        <v>371</v>
      </c>
      <c r="B87" s="350"/>
      <c r="C87" s="350"/>
      <c r="D87" s="171"/>
      <c r="E87" s="11"/>
      <c r="F87" s="349"/>
      <c r="G87" s="349"/>
      <c r="H87" s="171"/>
      <c r="I87" s="11"/>
      <c r="J87" s="307"/>
      <c r="K87" s="234"/>
      <c r="L87" s="371"/>
      <c r="M87" s="11"/>
    </row>
    <row r="88" spans="1:13" x14ac:dyDescent="0.2">
      <c r="A88" s="21" t="s">
        <v>9</v>
      </c>
      <c r="B88" s="232"/>
      <c r="C88" s="145"/>
      <c r="D88" s="166"/>
      <c r="E88" s="27"/>
      <c r="F88" s="232"/>
      <c r="G88" s="145"/>
      <c r="H88" s="166"/>
      <c r="I88" s="27"/>
      <c r="J88" s="285"/>
      <c r="K88" s="44"/>
      <c r="L88" s="252"/>
      <c r="M88" s="27"/>
    </row>
    <row r="89" spans="1:13" x14ac:dyDescent="0.2">
      <c r="A89" s="21" t="s">
        <v>10</v>
      </c>
      <c r="B89" s="232"/>
      <c r="C89" s="145"/>
      <c r="D89" s="166"/>
      <c r="E89" s="27"/>
      <c r="F89" s="232"/>
      <c r="G89" s="145"/>
      <c r="H89" s="166"/>
      <c r="I89" s="27"/>
      <c r="J89" s="285"/>
      <c r="K89" s="44"/>
      <c r="L89" s="252"/>
      <c r="M89" s="27"/>
    </row>
    <row r="90" spans="1:13" ht="15.75" x14ac:dyDescent="0.2">
      <c r="A90" s="294" t="s">
        <v>386</v>
      </c>
      <c r="B90" s="279"/>
      <c r="C90" s="279"/>
      <c r="D90" s="166"/>
      <c r="E90" s="363"/>
      <c r="F90" s="279"/>
      <c r="G90" s="279"/>
      <c r="H90" s="166"/>
      <c r="I90" s="363"/>
      <c r="J90" s="288"/>
      <c r="K90" s="288"/>
      <c r="L90" s="166"/>
      <c r="M90" s="23"/>
    </row>
    <row r="91" spans="1:13" x14ac:dyDescent="0.2">
      <c r="A91" s="294" t="s">
        <v>12</v>
      </c>
      <c r="B91" s="233"/>
      <c r="C91" s="287"/>
      <c r="D91" s="166"/>
      <c r="E91" s="363"/>
      <c r="F91" s="279"/>
      <c r="G91" s="279"/>
      <c r="H91" s="166"/>
      <c r="I91" s="363"/>
      <c r="J91" s="288"/>
      <c r="K91" s="288"/>
      <c r="L91" s="166"/>
      <c r="M91" s="23"/>
    </row>
    <row r="92" spans="1:13" x14ac:dyDescent="0.2">
      <c r="A92" s="294" t="s">
        <v>13</v>
      </c>
      <c r="B92" s="233"/>
      <c r="C92" s="287"/>
      <c r="D92" s="166"/>
      <c r="E92" s="363"/>
      <c r="F92" s="279"/>
      <c r="G92" s="279"/>
      <c r="H92" s="166"/>
      <c r="I92" s="363"/>
      <c r="J92" s="288"/>
      <c r="K92" s="288"/>
      <c r="L92" s="166"/>
      <c r="M92" s="23"/>
    </row>
    <row r="93" spans="1:13" ht="15.75" x14ac:dyDescent="0.2">
      <c r="A93" s="294" t="s">
        <v>387</v>
      </c>
      <c r="B93" s="279"/>
      <c r="C93" s="279"/>
      <c r="D93" s="166"/>
      <c r="E93" s="363"/>
      <c r="F93" s="279"/>
      <c r="G93" s="279"/>
      <c r="H93" s="166"/>
      <c r="I93" s="363"/>
      <c r="J93" s="288"/>
      <c r="K93" s="288"/>
      <c r="L93" s="166"/>
      <c r="M93" s="23"/>
    </row>
    <row r="94" spans="1:13" x14ac:dyDescent="0.2">
      <c r="A94" s="294" t="s">
        <v>12</v>
      </c>
      <c r="B94" s="233"/>
      <c r="C94" s="287"/>
      <c r="D94" s="166"/>
      <c r="E94" s="363"/>
      <c r="F94" s="279"/>
      <c r="G94" s="279"/>
      <c r="H94" s="166"/>
      <c r="I94" s="363"/>
      <c r="J94" s="288"/>
      <c r="K94" s="288"/>
      <c r="L94" s="166"/>
      <c r="M94" s="23"/>
    </row>
    <row r="95" spans="1:13" x14ac:dyDescent="0.2">
      <c r="A95" s="294" t="s">
        <v>13</v>
      </c>
      <c r="B95" s="233"/>
      <c r="C95" s="287"/>
      <c r="D95" s="166"/>
      <c r="E95" s="363"/>
      <c r="F95" s="279"/>
      <c r="G95" s="279"/>
      <c r="H95" s="166"/>
      <c r="I95" s="363"/>
      <c r="J95" s="288"/>
      <c r="K95" s="288"/>
      <c r="L95" s="166"/>
      <c r="M95" s="23"/>
    </row>
    <row r="96" spans="1:13" x14ac:dyDescent="0.2">
      <c r="A96" s="21" t="s">
        <v>354</v>
      </c>
      <c r="B96" s="232"/>
      <c r="C96" s="145"/>
      <c r="D96" s="166"/>
      <c r="E96" s="27"/>
      <c r="F96" s="232"/>
      <c r="G96" s="145"/>
      <c r="H96" s="166"/>
      <c r="I96" s="27"/>
      <c r="J96" s="285"/>
      <c r="K96" s="44"/>
      <c r="L96" s="252"/>
      <c r="M96" s="27"/>
    </row>
    <row r="97" spans="1:13" x14ac:dyDescent="0.2">
      <c r="A97" s="21" t="s">
        <v>353</v>
      </c>
      <c r="B97" s="232"/>
      <c r="C97" s="145"/>
      <c r="D97" s="166"/>
      <c r="E97" s="27"/>
      <c r="F97" s="232"/>
      <c r="G97" s="145"/>
      <c r="H97" s="166"/>
      <c r="I97" s="27"/>
      <c r="J97" s="285"/>
      <c r="K97" s="44"/>
      <c r="L97" s="252"/>
      <c r="M97" s="27"/>
    </row>
    <row r="98" spans="1:13" ht="15.75" x14ac:dyDescent="0.2">
      <c r="A98" s="21" t="s">
        <v>388</v>
      </c>
      <c r="B98" s="232"/>
      <c r="C98" s="232"/>
      <c r="D98" s="166"/>
      <c r="E98" s="27"/>
      <c r="F98" s="290"/>
      <c r="G98" s="290"/>
      <c r="H98" s="166"/>
      <c r="I98" s="27"/>
      <c r="J98" s="285"/>
      <c r="K98" s="44"/>
      <c r="L98" s="252"/>
      <c r="M98" s="27"/>
    </row>
    <row r="99" spans="1:13" x14ac:dyDescent="0.2">
      <c r="A99" s="21" t="s">
        <v>9</v>
      </c>
      <c r="B99" s="290"/>
      <c r="C99" s="291"/>
      <c r="D99" s="166"/>
      <c r="E99" s="27"/>
      <c r="F99" s="232"/>
      <c r="G99" s="145"/>
      <c r="H99" s="166"/>
      <c r="I99" s="27"/>
      <c r="J99" s="285"/>
      <c r="K99" s="44"/>
      <c r="L99" s="252"/>
      <c r="M99" s="27"/>
    </row>
    <row r="100" spans="1:13" x14ac:dyDescent="0.2">
      <c r="A100" s="21" t="s">
        <v>10</v>
      </c>
      <c r="B100" s="290"/>
      <c r="C100" s="291"/>
      <c r="D100" s="166"/>
      <c r="E100" s="27"/>
      <c r="F100" s="232"/>
      <c r="G100" s="232"/>
      <c r="H100" s="166"/>
      <c r="I100" s="27"/>
      <c r="J100" s="285"/>
      <c r="K100" s="44"/>
      <c r="L100" s="252"/>
      <c r="M100" s="27"/>
    </row>
    <row r="101" spans="1:13" ht="15.75" x14ac:dyDescent="0.2">
      <c r="A101" s="294" t="s">
        <v>386</v>
      </c>
      <c r="B101" s="279"/>
      <c r="C101" s="279"/>
      <c r="D101" s="166"/>
      <c r="E101" s="363"/>
      <c r="F101" s="279"/>
      <c r="G101" s="279"/>
      <c r="H101" s="166"/>
      <c r="I101" s="363"/>
      <c r="J101" s="288"/>
      <c r="K101" s="288"/>
      <c r="L101" s="166"/>
      <c r="M101" s="23"/>
    </row>
    <row r="102" spans="1:13" x14ac:dyDescent="0.2">
      <c r="A102" s="294" t="s">
        <v>12</v>
      </c>
      <c r="B102" s="233"/>
      <c r="C102" s="287"/>
      <c r="D102" s="166"/>
      <c r="E102" s="363"/>
      <c r="F102" s="279"/>
      <c r="G102" s="279"/>
      <c r="H102" s="166"/>
      <c r="I102" s="363"/>
      <c r="J102" s="288"/>
      <c r="K102" s="288"/>
      <c r="L102" s="166"/>
      <c r="M102" s="23"/>
    </row>
    <row r="103" spans="1:13" x14ac:dyDescent="0.2">
      <c r="A103" s="294" t="s">
        <v>13</v>
      </c>
      <c r="B103" s="233"/>
      <c r="C103" s="287"/>
      <c r="D103" s="166"/>
      <c r="E103" s="363"/>
      <c r="F103" s="279"/>
      <c r="G103" s="279"/>
      <c r="H103" s="166"/>
      <c r="I103" s="363"/>
      <c r="J103" s="288"/>
      <c r="K103" s="288"/>
      <c r="L103" s="166"/>
      <c r="M103" s="23"/>
    </row>
    <row r="104" spans="1:13" ht="15.75" x14ac:dyDescent="0.2">
      <c r="A104" s="294" t="s">
        <v>387</v>
      </c>
      <c r="B104" s="279"/>
      <c r="C104" s="279"/>
      <c r="D104" s="166"/>
      <c r="E104" s="363"/>
      <c r="F104" s="279"/>
      <c r="G104" s="279"/>
      <c r="H104" s="166"/>
      <c r="I104" s="363"/>
      <c r="J104" s="288"/>
      <c r="K104" s="288"/>
      <c r="L104" s="166"/>
      <c r="M104" s="23"/>
    </row>
    <row r="105" spans="1:13" x14ac:dyDescent="0.2">
      <c r="A105" s="294" t="s">
        <v>12</v>
      </c>
      <c r="B105" s="233"/>
      <c r="C105" s="287"/>
      <c r="D105" s="166"/>
      <c r="E105" s="363"/>
      <c r="F105" s="279"/>
      <c r="G105" s="279"/>
      <c r="H105" s="166"/>
      <c r="I105" s="363"/>
      <c r="J105" s="288"/>
      <c r="K105" s="288"/>
      <c r="L105" s="166"/>
      <c r="M105" s="23"/>
    </row>
    <row r="106" spans="1:13" x14ac:dyDescent="0.2">
      <c r="A106" s="294" t="s">
        <v>13</v>
      </c>
      <c r="B106" s="233"/>
      <c r="C106" s="287"/>
      <c r="D106" s="166"/>
      <c r="E106" s="363"/>
      <c r="F106" s="279"/>
      <c r="G106" s="279"/>
      <c r="H106" s="166"/>
      <c r="I106" s="363"/>
      <c r="J106" s="288"/>
      <c r="K106" s="288"/>
      <c r="L106" s="166"/>
      <c r="M106" s="23"/>
    </row>
    <row r="107" spans="1:13" ht="15.75" x14ac:dyDescent="0.2">
      <c r="A107" s="21" t="s">
        <v>389</v>
      </c>
      <c r="B107" s="232"/>
      <c r="C107" s="145"/>
      <c r="D107" s="166"/>
      <c r="E107" s="27"/>
      <c r="F107" s="232"/>
      <c r="G107" s="145"/>
      <c r="H107" s="166"/>
      <c r="I107" s="27"/>
      <c r="J107" s="285"/>
      <c r="K107" s="44"/>
      <c r="L107" s="252"/>
      <c r="M107" s="27"/>
    </row>
    <row r="108" spans="1:13" ht="15.75" x14ac:dyDescent="0.2">
      <c r="A108" s="21" t="s">
        <v>390</v>
      </c>
      <c r="B108" s="232"/>
      <c r="C108" s="232"/>
      <c r="D108" s="166"/>
      <c r="E108" s="27"/>
      <c r="F108" s="232"/>
      <c r="G108" s="232"/>
      <c r="H108" s="166"/>
      <c r="I108" s="27"/>
      <c r="J108" s="285"/>
      <c r="K108" s="44"/>
      <c r="L108" s="252"/>
      <c r="M108" s="27"/>
    </row>
    <row r="109" spans="1:13" ht="15.75" x14ac:dyDescent="0.2">
      <c r="A109" s="21" t="s">
        <v>391</v>
      </c>
      <c r="B109" s="232"/>
      <c r="C109" s="232"/>
      <c r="D109" s="166"/>
      <c r="E109" s="27"/>
      <c r="F109" s="232"/>
      <c r="G109" s="232"/>
      <c r="H109" s="166"/>
      <c r="I109" s="27"/>
      <c r="J109" s="285"/>
      <c r="K109" s="44"/>
      <c r="L109" s="252"/>
      <c r="M109" s="27"/>
    </row>
    <row r="110" spans="1:13" ht="15.75" x14ac:dyDescent="0.2">
      <c r="A110" s="21" t="s">
        <v>392</v>
      </c>
      <c r="B110" s="232"/>
      <c r="C110" s="232"/>
      <c r="D110" s="166"/>
      <c r="E110" s="27"/>
      <c r="F110" s="232"/>
      <c r="G110" s="232"/>
      <c r="H110" s="166"/>
      <c r="I110" s="27"/>
      <c r="J110" s="285"/>
      <c r="K110" s="44"/>
      <c r="L110" s="252"/>
      <c r="M110" s="27"/>
    </row>
    <row r="111" spans="1:13" ht="15.75" x14ac:dyDescent="0.2">
      <c r="A111" s="13" t="s">
        <v>372</v>
      </c>
      <c r="B111" s="306"/>
      <c r="C111" s="159"/>
      <c r="D111" s="171"/>
      <c r="E111" s="11"/>
      <c r="F111" s="306"/>
      <c r="G111" s="159"/>
      <c r="H111" s="171"/>
      <c r="I111" s="11"/>
      <c r="J111" s="307"/>
      <c r="K111" s="234"/>
      <c r="L111" s="371"/>
      <c r="M111" s="11"/>
    </row>
    <row r="112" spans="1:13" x14ac:dyDescent="0.2">
      <c r="A112" s="21" t="s">
        <v>9</v>
      </c>
      <c r="B112" s="232"/>
      <c r="C112" s="145"/>
      <c r="D112" s="166"/>
      <c r="E112" s="27"/>
      <c r="F112" s="232"/>
      <c r="G112" s="145"/>
      <c r="H112" s="166"/>
      <c r="I112" s="27"/>
      <c r="J112" s="285"/>
      <c r="K112" s="44"/>
      <c r="L112" s="252"/>
      <c r="M112" s="27"/>
    </row>
    <row r="113" spans="1:14" x14ac:dyDescent="0.2">
      <c r="A113" s="21" t="s">
        <v>10</v>
      </c>
      <c r="B113" s="232"/>
      <c r="C113" s="145"/>
      <c r="D113" s="166"/>
      <c r="E113" s="27"/>
      <c r="F113" s="232"/>
      <c r="G113" s="145"/>
      <c r="H113" s="166"/>
      <c r="I113" s="27"/>
      <c r="J113" s="285"/>
      <c r="K113" s="44"/>
      <c r="L113" s="252"/>
      <c r="M113" s="27"/>
    </row>
    <row r="114" spans="1:14" x14ac:dyDescent="0.2">
      <c r="A114" s="21" t="s">
        <v>26</v>
      </c>
      <c r="B114" s="232"/>
      <c r="C114" s="145"/>
      <c r="D114" s="166"/>
      <c r="E114" s="27"/>
      <c r="F114" s="232"/>
      <c r="G114" s="145"/>
      <c r="H114" s="166"/>
      <c r="I114" s="27"/>
      <c r="J114" s="285"/>
      <c r="K114" s="44"/>
      <c r="L114" s="252"/>
      <c r="M114" s="27"/>
    </row>
    <row r="115" spans="1:14" x14ac:dyDescent="0.2">
      <c r="A115" s="294" t="s">
        <v>15</v>
      </c>
      <c r="B115" s="279"/>
      <c r="C115" s="279"/>
      <c r="D115" s="166"/>
      <c r="E115" s="363"/>
      <c r="F115" s="279"/>
      <c r="G115" s="279"/>
      <c r="H115" s="166"/>
      <c r="I115" s="363"/>
      <c r="J115" s="288"/>
      <c r="K115" s="288"/>
      <c r="L115" s="166"/>
      <c r="M115" s="23"/>
    </row>
    <row r="116" spans="1:14" ht="15.75" x14ac:dyDescent="0.2">
      <c r="A116" s="21" t="s">
        <v>393</v>
      </c>
      <c r="B116" s="232"/>
      <c r="C116" s="232"/>
      <c r="D116" s="166"/>
      <c r="E116" s="27"/>
      <c r="F116" s="232"/>
      <c r="G116" s="232"/>
      <c r="H116" s="166"/>
      <c r="I116" s="27"/>
      <c r="J116" s="285"/>
      <c r="K116" s="44"/>
      <c r="L116" s="252"/>
      <c r="M116" s="27"/>
    </row>
    <row r="117" spans="1:14" ht="15.75" x14ac:dyDescent="0.2">
      <c r="A117" s="21" t="s">
        <v>394</v>
      </c>
      <c r="B117" s="232"/>
      <c r="C117" s="232"/>
      <c r="D117" s="166"/>
      <c r="E117" s="27"/>
      <c r="F117" s="232"/>
      <c r="G117" s="232"/>
      <c r="H117" s="166"/>
      <c r="I117" s="27"/>
      <c r="J117" s="285"/>
      <c r="K117" s="44"/>
      <c r="L117" s="252"/>
      <c r="M117" s="27"/>
    </row>
    <row r="118" spans="1:14" ht="15.75" x14ac:dyDescent="0.2">
      <c r="A118" s="21" t="s">
        <v>392</v>
      </c>
      <c r="B118" s="232"/>
      <c r="C118" s="232"/>
      <c r="D118" s="166"/>
      <c r="E118" s="27"/>
      <c r="F118" s="232"/>
      <c r="G118" s="232"/>
      <c r="H118" s="166"/>
      <c r="I118" s="27"/>
      <c r="J118" s="285"/>
      <c r="K118" s="44"/>
      <c r="L118" s="252"/>
      <c r="M118" s="27"/>
    </row>
    <row r="119" spans="1:14" ht="15.75" x14ac:dyDescent="0.2">
      <c r="A119" s="13" t="s">
        <v>373</v>
      </c>
      <c r="B119" s="306"/>
      <c r="C119" s="159"/>
      <c r="D119" s="171"/>
      <c r="E119" s="11"/>
      <c r="F119" s="306"/>
      <c r="G119" s="159"/>
      <c r="H119" s="171"/>
      <c r="I119" s="11"/>
      <c r="J119" s="307"/>
      <c r="K119" s="234"/>
      <c r="L119" s="371"/>
      <c r="M119" s="11"/>
    </row>
    <row r="120" spans="1:14" x14ac:dyDescent="0.2">
      <c r="A120" s="21" t="s">
        <v>9</v>
      </c>
      <c r="B120" s="232"/>
      <c r="C120" s="145"/>
      <c r="D120" s="166"/>
      <c r="E120" s="27"/>
      <c r="F120" s="232"/>
      <c r="G120" s="145"/>
      <c r="H120" s="166"/>
      <c r="I120" s="27"/>
      <c r="J120" s="285"/>
      <c r="K120" s="44"/>
      <c r="L120" s="252"/>
      <c r="M120" s="27"/>
    </row>
    <row r="121" spans="1:14" x14ac:dyDescent="0.2">
      <c r="A121" s="21" t="s">
        <v>10</v>
      </c>
      <c r="B121" s="232"/>
      <c r="C121" s="145"/>
      <c r="D121" s="166"/>
      <c r="E121" s="27"/>
      <c r="F121" s="232"/>
      <c r="G121" s="145"/>
      <c r="H121" s="166"/>
      <c r="I121" s="27"/>
      <c r="J121" s="285"/>
      <c r="K121" s="44"/>
      <c r="L121" s="252"/>
      <c r="M121" s="27"/>
    </row>
    <row r="122" spans="1:14" x14ac:dyDescent="0.2">
      <c r="A122" s="21" t="s">
        <v>26</v>
      </c>
      <c r="B122" s="232"/>
      <c r="C122" s="145"/>
      <c r="D122" s="166"/>
      <c r="E122" s="27"/>
      <c r="F122" s="232"/>
      <c r="G122" s="145"/>
      <c r="H122" s="166"/>
      <c r="I122" s="27"/>
      <c r="J122" s="285"/>
      <c r="K122" s="44"/>
      <c r="L122" s="252"/>
      <c r="M122" s="27"/>
    </row>
    <row r="123" spans="1:14" x14ac:dyDescent="0.2">
      <c r="A123" s="294" t="s">
        <v>14</v>
      </c>
      <c r="B123" s="279"/>
      <c r="C123" s="279"/>
      <c r="D123" s="166"/>
      <c r="E123" s="363"/>
      <c r="F123" s="279"/>
      <c r="G123" s="279"/>
      <c r="H123" s="166"/>
      <c r="I123" s="363"/>
      <c r="J123" s="288"/>
      <c r="K123" s="288"/>
      <c r="L123" s="166"/>
      <c r="M123" s="23"/>
    </row>
    <row r="124" spans="1:14" ht="15.75" x14ac:dyDescent="0.2">
      <c r="A124" s="21" t="s">
        <v>399</v>
      </c>
      <c r="B124" s="232"/>
      <c r="C124" s="232"/>
      <c r="D124" s="166"/>
      <c r="E124" s="27"/>
      <c r="F124" s="232"/>
      <c r="G124" s="232"/>
      <c r="H124" s="166"/>
      <c r="I124" s="27"/>
      <c r="J124" s="285"/>
      <c r="K124" s="44"/>
      <c r="L124" s="252"/>
      <c r="M124" s="27"/>
    </row>
    <row r="125" spans="1:14" ht="15.75" x14ac:dyDescent="0.2">
      <c r="A125" s="21" t="s">
        <v>391</v>
      </c>
      <c r="B125" s="232"/>
      <c r="C125" s="232"/>
      <c r="D125" s="166"/>
      <c r="E125" s="27"/>
      <c r="F125" s="232"/>
      <c r="G125" s="232"/>
      <c r="H125" s="166"/>
      <c r="I125" s="27"/>
      <c r="J125" s="285"/>
      <c r="K125" s="44"/>
      <c r="L125" s="252"/>
      <c r="M125" s="27"/>
    </row>
    <row r="126" spans="1:14" ht="15.75" x14ac:dyDescent="0.2">
      <c r="A126" s="10" t="s">
        <v>392</v>
      </c>
      <c r="B126" s="45"/>
      <c r="C126" s="45"/>
      <c r="D126" s="167"/>
      <c r="E126" s="364"/>
      <c r="F126" s="45"/>
      <c r="G126" s="45"/>
      <c r="H126" s="167"/>
      <c r="I126" s="22"/>
      <c r="J126" s="286"/>
      <c r="K126" s="45"/>
      <c r="L126" s="253"/>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95"/>
      <c r="C130" s="695"/>
      <c r="D130" s="695"/>
      <c r="E130" s="297"/>
      <c r="F130" s="695"/>
      <c r="G130" s="695"/>
      <c r="H130" s="695"/>
      <c r="I130" s="297"/>
      <c r="J130" s="695"/>
      <c r="K130" s="695"/>
      <c r="L130" s="695"/>
      <c r="M130" s="297"/>
    </row>
    <row r="131" spans="1:14" s="3" customFormat="1" x14ac:dyDescent="0.2">
      <c r="A131" s="144"/>
      <c r="B131" s="696" t="s">
        <v>0</v>
      </c>
      <c r="C131" s="697"/>
      <c r="D131" s="697"/>
      <c r="E131" s="299"/>
      <c r="F131" s="696" t="s">
        <v>1</v>
      </c>
      <c r="G131" s="697"/>
      <c r="H131" s="697"/>
      <c r="I131" s="302"/>
      <c r="J131" s="696" t="s">
        <v>2</v>
      </c>
      <c r="K131" s="697"/>
      <c r="L131" s="697"/>
      <c r="M131" s="302"/>
      <c r="N131" s="148"/>
    </row>
    <row r="132" spans="1:14" s="3" customFormat="1" x14ac:dyDescent="0.2">
      <c r="A132" s="140"/>
      <c r="B132" s="152" t="s">
        <v>422</v>
      </c>
      <c r="C132" s="152" t="s">
        <v>423</v>
      </c>
      <c r="D132" s="243" t="s">
        <v>3</v>
      </c>
      <c r="E132" s="303" t="s">
        <v>29</v>
      </c>
      <c r="F132" s="152" t="s">
        <v>422</v>
      </c>
      <c r="G132" s="152" t="s">
        <v>423</v>
      </c>
      <c r="H132" s="205" t="s">
        <v>3</v>
      </c>
      <c r="I132" s="162" t="s">
        <v>29</v>
      </c>
      <c r="J132" s="152" t="s">
        <v>422</v>
      </c>
      <c r="K132" s="152" t="s">
        <v>423</v>
      </c>
      <c r="L132" s="244" t="s">
        <v>3</v>
      </c>
      <c r="M132" s="162" t="s">
        <v>29</v>
      </c>
      <c r="N132" s="148"/>
    </row>
    <row r="133" spans="1:14" s="3" customFormat="1" x14ac:dyDescent="0.2">
      <c r="A133" s="666"/>
      <c r="B133" s="156"/>
      <c r="C133" s="156"/>
      <c r="D133" s="244" t="s">
        <v>4</v>
      </c>
      <c r="E133" s="156" t="s">
        <v>30</v>
      </c>
      <c r="F133" s="161"/>
      <c r="G133" s="161"/>
      <c r="H133" s="205" t="s">
        <v>4</v>
      </c>
      <c r="I133" s="156" t="s">
        <v>30</v>
      </c>
      <c r="J133" s="156"/>
      <c r="K133" s="156"/>
      <c r="L133" s="150" t="s">
        <v>4</v>
      </c>
      <c r="M133" s="156" t="s">
        <v>30</v>
      </c>
      <c r="N133" s="148"/>
    </row>
    <row r="134" spans="1:14" s="3" customFormat="1" ht="15.75" x14ac:dyDescent="0.2">
      <c r="A134" s="14" t="s">
        <v>395</v>
      </c>
      <c r="B134" s="234">
        <v>21892058.17912</v>
      </c>
      <c r="C134" s="307">
        <v>21741608.461070001</v>
      </c>
      <c r="D134" s="347">
        <f t="shared" ref="D134:D137" si="1">IF(B134=0, "    ---- ", IF(ABS(ROUND(100/B134*C134-100,1))&lt;999,ROUND(100/B134*C134-100,1),IF(ROUND(100/B134*C134-100,1)&gt;999,999,-999)))</f>
        <v>-0.7</v>
      </c>
      <c r="E134" s="11">
        <f>IFERROR(100/'Skjema total MA'!C134*C134,0)</f>
        <v>91.830993833205312</v>
      </c>
      <c r="F134" s="314">
        <v>90028.570999999996</v>
      </c>
      <c r="G134" s="315">
        <v>89130.341</v>
      </c>
      <c r="H134" s="374">
        <f t="shared" ref="H134:H135" si="2">IF(F134=0, "    ---- ", IF(ABS(ROUND(100/F134*G134-100,1))&lt;999,ROUND(100/F134*G134-100,1),IF(ROUND(100/F134*G134-100,1)&gt;999,999,-999)))</f>
        <v>-1</v>
      </c>
      <c r="I134" s="24">
        <f>IFERROR(100/'Skjema total MA'!F134*G134,0)</f>
        <v>100</v>
      </c>
      <c r="J134" s="316">
        <f t="shared" ref="J134:K137" si="3">SUM(B134,F134)</f>
        <v>21982086.750119999</v>
      </c>
      <c r="K134" s="316">
        <f t="shared" si="3"/>
        <v>21830738.802069999</v>
      </c>
      <c r="L134" s="370">
        <f t="shared" ref="L134:L137" si="4">IF(J134=0, "    ---- ", IF(ABS(ROUND(100/J134*K134-100,1))&lt;999,ROUND(100/J134*K134-100,1),IF(ROUND(100/J134*K134-100,1)&gt;999,999,-999)))</f>
        <v>-0.7</v>
      </c>
      <c r="M134" s="11">
        <f>IFERROR(100/'Skjema total MA'!I134*K134,0)</f>
        <v>91.861631840449391</v>
      </c>
      <c r="N134" s="148"/>
    </row>
    <row r="135" spans="1:14" s="3" customFormat="1" ht="15.75" x14ac:dyDescent="0.2">
      <c r="A135" s="13" t="s">
        <v>400</v>
      </c>
      <c r="B135" s="234">
        <v>465567937.94161999</v>
      </c>
      <c r="C135" s="307">
        <v>491892859.81856</v>
      </c>
      <c r="D135" s="171">
        <f t="shared" si="1"/>
        <v>5.7</v>
      </c>
      <c r="E135" s="11">
        <f>IFERROR(100/'Skjema total MA'!C135*C135,0)</f>
        <v>86.244514502261509</v>
      </c>
      <c r="F135" s="234">
        <v>2451095.8211500002</v>
      </c>
      <c r="G135" s="307">
        <v>2587219.1831499999</v>
      </c>
      <c r="H135" s="375">
        <f t="shared" si="2"/>
        <v>5.6</v>
      </c>
      <c r="I135" s="24">
        <f>IFERROR(100/'Skjema total MA'!F135*G135,0)</f>
        <v>99.999999999999986</v>
      </c>
      <c r="J135" s="306">
        <f t="shared" si="3"/>
        <v>468019033.76277</v>
      </c>
      <c r="K135" s="306">
        <f t="shared" si="3"/>
        <v>494480079.00171</v>
      </c>
      <c r="L135" s="371">
        <f t="shared" si="4"/>
        <v>5.7</v>
      </c>
      <c r="M135" s="11">
        <f>IFERROR(100/'Skjema total MA'!I135*K135,0)</f>
        <v>86.30663064917556</v>
      </c>
      <c r="N135" s="148"/>
    </row>
    <row r="136" spans="1:14" s="3" customFormat="1" ht="15.75" x14ac:dyDescent="0.2">
      <c r="A136" s="13" t="s">
        <v>397</v>
      </c>
      <c r="B136" s="234">
        <v>5301.9790000000003</v>
      </c>
      <c r="C136" s="307">
        <v>235.143</v>
      </c>
      <c r="D136" s="171">
        <f t="shared" si="1"/>
        <v>-95.6</v>
      </c>
      <c r="E136" s="11">
        <f>IFERROR(100/'Skjema total MA'!C136*C136,0)</f>
        <v>0.2216082286795841</v>
      </c>
      <c r="F136" s="234"/>
      <c r="G136" s="307"/>
      <c r="H136" s="375"/>
      <c r="I136" s="24"/>
      <c r="J136" s="306">
        <f t="shared" si="3"/>
        <v>5301.9790000000003</v>
      </c>
      <c r="K136" s="306">
        <f t="shared" si="3"/>
        <v>235.143</v>
      </c>
      <c r="L136" s="371">
        <f t="shared" si="4"/>
        <v>-95.6</v>
      </c>
      <c r="M136" s="11">
        <f>IFERROR(100/'Skjema total MA'!I136*K136,0)</f>
        <v>0.2216082286795841</v>
      </c>
      <c r="N136" s="148"/>
    </row>
    <row r="137" spans="1:14" s="3" customFormat="1" ht="15.75" x14ac:dyDescent="0.2">
      <c r="A137" s="41" t="s">
        <v>398</v>
      </c>
      <c r="B137" s="274">
        <v>496739.50099999999</v>
      </c>
      <c r="C137" s="313">
        <v>248299.76699999999</v>
      </c>
      <c r="D137" s="169">
        <f t="shared" si="1"/>
        <v>-50</v>
      </c>
      <c r="E137" s="9">
        <f>IFERROR(100/'Skjema total MA'!C137*C137,0)</f>
        <v>100</v>
      </c>
      <c r="F137" s="274"/>
      <c r="G137" s="313"/>
      <c r="H137" s="376"/>
      <c r="I137" s="36"/>
      <c r="J137" s="312">
        <f t="shared" si="3"/>
        <v>496739.50099999999</v>
      </c>
      <c r="K137" s="312">
        <f t="shared" si="3"/>
        <v>248299.76699999999</v>
      </c>
      <c r="L137" s="372">
        <f t="shared" si="4"/>
        <v>-50</v>
      </c>
      <c r="M137" s="36">
        <f>IFERROR(100/'Skjema total MA'!I137*K137,0)</f>
        <v>100</v>
      </c>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986" priority="132">
      <formula>kvartal &lt; 4</formula>
    </cfRule>
  </conditionalFormatting>
  <conditionalFormatting sqref="B69">
    <cfRule type="expression" dxfId="985" priority="100">
      <formula>kvartal &lt; 4</formula>
    </cfRule>
  </conditionalFormatting>
  <conditionalFormatting sqref="C69">
    <cfRule type="expression" dxfId="984" priority="99">
      <formula>kvartal &lt; 4</formula>
    </cfRule>
  </conditionalFormatting>
  <conditionalFormatting sqref="B72">
    <cfRule type="expression" dxfId="983" priority="98">
      <formula>kvartal &lt; 4</formula>
    </cfRule>
  </conditionalFormatting>
  <conditionalFormatting sqref="C72">
    <cfRule type="expression" dxfId="982" priority="97">
      <formula>kvartal &lt; 4</formula>
    </cfRule>
  </conditionalFormatting>
  <conditionalFormatting sqref="B80">
    <cfRule type="expression" dxfId="981" priority="96">
      <formula>kvartal &lt; 4</formula>
    </cfRule>
  </conditionalFormatting>
  <conditionalFormatting sqref="C80">
    <cfRule type="expression" dxfId="980" priority="95">
      <formula>kvartal &lt; 4</formula>
    </cfRule>
  </conditionalFormatting>
  <conditionalFormatting sqref="B83">
    <cfRule type="expression" dxfId="979" priority="94">
      <formula>kvartal &lt; 4</formula>
    </cfRule>
  </conditionalFormatting>
  <conditionalFormatting sqref="C83">
    <cfRule type="expression" dxfId="978" priority="93">
      <formula>kvartal &lt; 4</formula>
    </cfRule>
  </conditionalFormatting>
  <conditionalFormatting sqref="B90">
    <cfRule type="expression" dxfId="977" priority="84">
      <formula>kvartal &lt; 4</formula>
    </cfRule>
  </conditionalFormatting>
  <conditionalFormatting sqref="C90">
    <cfRule type="expression" dxfId="976" priority="83">
      <formula>kvartal &lt; 4</formula>
    </cfRule>
  </conditionalFormatting>
  <conditionalFormatting sqref="B93">
    <cfRule type="expression" dxfId="975" priority="82">
      <formula>kvartal &lt; 4</formula>
    </cfRule>
  </conditionalFormatting>
  <conditionalFormatting sqref="C93">
    <cfRule type="expression" dxfId="974" priority="81">
      <formula>kvartal &lt; 4</formula>
    </cfRule>
  </conditionalFormatting>
  <conditionalFormatting sqref="B101">
    <cfRule type="expression" dxfId="973" priority="80">
      <formula>kvartal &lt; 4</formula>
    </cfRule>
  </conditionalFormatting>
  <conditionalFormatting sqref="C101">
    <cfRule type="expression" dxfId="972" priority="79">
      <formula>kvartal &lt; 4</formula>
    </cfRule>
  </conditionalFormatting>
  <conditionalFormatting sqref="B104">
    <cfRule type="expression" dxfId="971" priority="78">
      <formula>kvartal &lt; 4</formula>
    </cfRule>
  </conditionalFormatting>
  <conditionalFormatting sqref="C104">
    <cfRule type="expression" dxfId="970" priority="77">
      <formula>kvartal &lt; 4</formula>
    </cfRule>
  </conditionalFormatting>
  <conditionalFormatting sqref="B115">
    <cfRule type="expression" dxfId="969" priority="76">
      <formula>kvartal &lt; 4</formula>
    </cfRule>
  </conditionalFormatting>
  <conditionalFormatting sqref="C115">
    <cfRule type="expression" dxfId="968" priority="75">
      <formula>kvartal &lt; 4</formula>
    </cfRule>
  </conditionalFormatting>
  <conditionalFormatting sqref="B123">
    <cfRule type="expression" dxfId="967" priority="74">
      <formula>kvartal &lt; 4</formula>
    </cfRule>
  </conditionalFormatting>
  <conditionalFormatting sqref="C123">
    <cfRule type="expression" dxfId="966" priority="73">
      <formula>kvartal &lt; 4</formula>
    </cfRule>
  </conditionalFormatting>
  <conditionalFormatting sqref="F70">
    <cfRule type="expression" dxfId="965" priority="72">
      <formula>kvartal &lt; 4</formula>
    </cfRule>
  </conditionalFormatting>
  <conditionalFormatting sqref="G70">
    <cfRule type="expression" dxfId="964" priority="71">
      <formula>kvartal &lt; 4</formula>
    </cfRule>
  </conditionalFormatting>
  <conditionalFormatting sqref="F71:G71">
    <cfRule type="expression" dxfId="963" priority="70">
      <formula>kvartal &lt; 4</formula>
    </cfRule>
  </conditionalFormatting>
  <conditionalFormatting sqref="F73:G74">
    <cfRule type="expression" dxfId="962" priority="69">
      <formula>kvartal &lt; 4</formula>
    </cfRule>
  </conditionalFormatting>
  <conditionalFormatting sqref="F81:G82">
    <cfRule type="expression" dxfId="961" priority="68">
      <formula>kvartal &lt; 4</formula>
    </cfRule>
  </conditionalFormatting>
  <conditionalFormatting sqref="F84:G85">
    <cfRule type="expression" dxfId="960" priority="67">
      <formula>kvartal &lt; 4</formula>
    </cfRule>
  </conditionalFormatting>
  <conditionalFormatting sqref="F91:G92">
    <cfRule type="expression" dxfId="959" priority="62">
      <formula>kvartal &lt; 4</formula>
    </cfRule>
  </conditionalFormatting>
  <conditionalFormatting sqref="F94:G95">
    <cfRule type="expression" dxfId="958" priority="61">
      <formula>kvartal &lt; 4</formula>
    </cfRule>
  </conditionalFormatting>
  <conditionalFormatting sqref="F102:G103">
    <cfRule type="expression" dxfId="957" priority="60">
      <formula>kvartal &lt; 4</formula>
    </cfRule>
  </conditionalFormatting>
  <conditionalFormatting sqref="F105:G106">
    <cfRule type="expression" dxfId="956" priority="59">
      <formula>kvartal &lt; 4</formula>
    </cfRule>
  </conditionalFormatting>
  <conditionalFormatting sqref="F115">
    <cfRule type="expression" dxfId="955" priority="58">
      <formula>kvartal &lt; 4</formula>
    </cfRule>
  </conditionalFormatting>
  <conditionalFormatting sqref="G115">
    <cfRule type="expression" dxfId="954" priority="57">
      <formula>kvartal &lt; 4</formula>
    </cfRule>
  </conditionalFormatting>
  <conditionalFormatting sqref="F123:G123">
    <cfRule type="expression" dxfId="953" priority="56">
      <formula>kvartal &lt; 4</formula>
    </cfRule>
  </conditionalFormatting>
  <conditionalFormatting sqref="F69:G69">
    <cfRule type="expression" dxfId="952" priority="55">
      <formula>kvartal &lt; 4</formula>
    </cfRule>
  </conditionalFormatting>
  <conditionalFormatting sqref="F72:G72">
    <cfRule type="expression" dxfId="951" priority="54">
      <formula>kvartal &lt; 4</formula>
    </cfRule>
  </conditionalFormatting>
  <conditionalFormatting sqref="F80:G80">
    <cfRule type="expression" dxfId="950" priority="53">
      <formula>kvartal &lt; 4</formula>
    </cfRule>
  </conditionalFormatting>
  <conditionalFormatting sqref="F83:G83">
    <cfRule type="expression" dxfId="949" priority="52">
      <formula>kvartal &lt; 4</formula>
    </cfRule>
  </conditionalFormatting>
  <conditionalFormatting sqref="F90:G90">
    <cfRule type="expression" dxfId="948" priority="46">
      <formula>kvartal &lt; 4</formula>
    </cfRule>
  </conditionalFormatting>
  <conditionalFormatting sqref="F93">
    <cfRule type="expression" dxfId="947" priority="45">
      <formula>kvartal &lt; 4</formula>
    </cfRule>
  </conditionalFormatting>
  <conditionalFormatting sqref="G93">
    <cfRule type="expression" dxfId="946" priority="44">
      <formula>kvartal &lt; 4</formula>
    </cfRule>
  </conditionalFormatting>
  <conditionalFormatting sqref="F101">
    <cfRule type="expression" dxfId="945" priority="43">
      <formula>kvartal &lt; 4</formula>
    </cfRule>
  </conditionalFormatting>
  <conditionalFormatting sqref="G101">
    <cfRule type="expression" dxfId="944" priority="42">
      <formula>kvartal &lt; 4</formula>
    </cfRule>
  </conditionalFormatting>
  <conditionalFormatting sqref="G104">
    <cfRule type="expression" dxfId="943" priority="41">
      <formula>kvartal &lt; 4</formula>
    </cfRule>
  </conditionalFormatting>
  <conditionalFormatting sqref="F104">
    <cfRule type="expression" dxfId="942" priority="40">
      <formula>kvartal &lt; 4</formula>
    </cfRule>
  </conditionalFormatting>
  <conditionalFormatting sqref="J69:K73">
    <cfRule type="expression" dxfId="941" priority="39">
      <formula>kvartal &lt; 4</formula>
    </cfRule>
  </conditionalFormatting>
  <conditionalFormatting sqref="J74:K74">
    <cfRule type="expression" dxfId="940" priority="38">
      <formula>kvartal &lt; 4</formula>
    </cfRule>
  </conditionalFormatting>
  <conditionalFormatting sqref="J80:K85">
    <cfRule type="expression" dxfId="939" priority="37">
      <formula>kvartal &lt; 4</formula>
    </cfRule>
  </conditionalFormatting>
  <conditionalFormatting sqref="J90:K95">
    <cfRule type="expression" dxfId="938" priority="34">
      <formula>kvartal &lt; 4</formula>
    </cfRule>
  </conditionalFormatting>
  <conditionalFormatting sqref="J101:K106">
    <cfRule type="expression" dxfId="937" priority="33">
      <formula>kvartal &lt; 4</formula>
    </cfRule>
  </conditionalFormatting>
  <conditionalFormatting sqref="J115:K115">
    <cfRule type="expression" dxfId="936" priority="32">
      <formula>kvartal &lt; 4</formula>
    </cfRule>
  </conditionalFormatting>
  <conditionalFormatting sqref="J123:K123">
    <cfRule type="expression" dxfId="935" priority="31">
      <formula>kvartal &lt; 4</formula>
    </cfRule>
  </conditionalFormatting>
  <conditionalFormatting sqref="A50:A52">
    <cfRule type="expression" dxfId="934" priority="12">
      <formula>kvartal &lt; 4</formula>
    </cfRule>
  </conditionalFormatting>
  <conditionalFormatting sqref="A69:A74">
    <cfRule type="expression" dxfId="933" priority="10">
      <formula>kvartal &lt; 4</formula>
    </cfRule>
  </conditionalFormatting>
  <conditionalFormatting sqref="A80:A85">
    <cfRule type="expression" dxfId="932" priority="9">
      <formula>kvartal &lt; 4</formula>
    </cfRule>
  </conditionalFormatting>
  <conditionalFormatting sqref="A90:A95">
    <cfRule type="expression" dxfId="931" priority="6">
      <formula>kvartal &lt; 4</formula>
    </cfRule>
  </conditionalFormatting>
  <conditionalFormatting sqref="A101:A106">
    <cfRule type="expression" dxfId="930" priority="5">
      <formula>kvartal &lt; 4</formula>
    </cfRule>
  </conditionalFormatting>
  <conditionalFormatting sqref="A115">
    <cfRule type="expression" dxfId="929" priority="4">
      <formula>kvartal &lt; 4</formula>
    </cfRule>
  </conditionalFormatting>
  <conditionalFormatting sqref="A123">
    <cfRule type="expression" dxfId="928" priority="3">
      <formula>kvartal &lt; 4</formula>
    </cfRule>
  </conditionalFormatting>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21"/>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64"/>
      <c r="C1" s="246" t="s">
        <v>95</v>
      </c>
      <c r="D1" s="26"/>
      <c r="E1" s="26"/>
      <c r="F1" s="26"/>
      <c r="G1" s="26"/>
      <c r="H1" s="26"/>
      <c r="I1" s="26"/>
      <c r="J1" s="26"/>
      <c r="K1" s="26"/>
      <c r="L1" s="26"/>
      <c r="M1" s="26"/>
    </row>
    <row r="2" spans="1:14" ht="15.75" x14ac:dyDescent="0.25">
      <c r="A2" s="165" t="s">
        <v>28</v>
      </c>
      <c r="B2" s="700"/>
      <c r="C2" s="700"/>
      <c r="D2" s="700"/>
      <c r="E2" s="297"/>
      <c r="F2" s="700"/>
      <c r="G2" s="700"/>
      <c r="H2" s="700"/>
      <c r="I2" s="297"/>
      <c r="J2" s="700"/>
      <c r="K2" s="700"/>
      <c r="L2" s="700"/>
      <c r="M2" s="297"/>
    </row>
    <row r="3" spans="1:14" ht="15.75" x14ac:dyDescent="0.25">
      <c r="A3" s="163"/>
      <c r="B3" s="297"/>
      <c r="C3" s="297"/>
      <c r="D3" s="297"/>
      <c r="E3" s="297"/>
      <c r="F3" s="297"/>
      <c r="G3" s="297"/>
      <c r="H3" s="297"/>
      <c r="I3" s="297"/>
      <c r="J3" s="297"/>
      <c r="K3" s="297"/>
      <c r="L3" s="297"/>
      <c r="M3" s="297"/>
    </row>
    <row r="4" spans="1:14" x14ac:dyDescent="0.2">
      <c r="A4" s="144"/>
      <c r="B4" s="696" t="s">
        <v>0</v>
      </c>
      <c r="C4" s="697"/>
      <c r="D4" s="697"/>
      <c r="E4" s="299"/>
      <c r="F4" s="696" t="s">
        <v>1</v>
      </c>
      <c r="G4" s="697"/>
      <c r="H4" s="697"/>
      <c r="I4" s="302"/>
      <c r="J4" s="696" t="s">
        <v>2</v>
      </c>
      <c r="K4" s="697"/>
      <c r="L4" s="697"/>
      <c r="M4" s="302"/>
    </row>
    <row r="5" spans="1:14" x14ac:dyDescent="0.2">
      <c r="A5" s="158"/>
      <c r="B5" s="152" t="s">
        <v>422</v>
      </c>
      <c r="C5" s="152" t="s">
        <v>423</v>
      </c>
      <c r="D5" s="243" t="s">
        <v>3</v>
      </c>
      <c r="E5" s="303" t="s">
        <v>29</v>
      </c>
      <c r="F5" s="152" t="s">
        <v>422</v>
      </c>
      <c r="G5" s="152" t="s">
        <v>423</v>
      </c>
      <c r="H5" s="243" t="s">
        <v>3</v>
      </c>
      <c r="I5" s="162" t="s">
        <v>29</v>
      </c>
      <c r="J5" s="152" t="s">
        <v>422</v>
      </c>
      <c r="K5" s="152" t="s">
        <v>423</v>
      </c>
      <c r="L5" s="243" t="s">
        <v>3</v>
      </c>
      <c r="M5" s="162" t="s">
        <v>29</v>
      </c>
    </row>
    <row r="6" spans="1:14" x14ac:dyDescent="0.2">
      <c r="A6" s="665"/>
      <c r="B6" s="156"/>
      <c r="C6" s="156"/>
      <c r="D6" s="244" t="s">
        <v>4</v>
      </c>
      <c r="E6" s="156" t="s">
        <v>30</v>
      </c>
      <c r="F6" s="161"/>
      <c r="G6" s="161"/>
      <c r="H6" s="243" t="s">
        <v>4</v>
      </c>
      <c r="I6" s="156" t="s">
        <v>30</v>
      </c>
      <c r="J6" s="161"/>
      <c r="K6" s="161"/>
      <c r="L6" s="243" t="s">
        <v>4</v>
      </c>
      <c r="M6" s="156" t="s">
        <v>30</v>
      </c>
    </row>
    <row r="7" spans="1:14" ht="15.75" x14ac:dyDescent="0.2">
      <c r="A7" s="14" t="s">
        <v>23</v>
      </c>
      <c r="B7" s="304"/>
      <c r="C7" s="305"/>
      <c r="D7" s="347"/>
      <c r="E7" s="11"/>
      <c r="F7" s="304"/>
      <c r="G7" s="305"/>
      <c r="H7" s="347"/>
      <c r="I7" s="160"/>
      <c r="J7" s="306"/>
      <c r="K7" s="307"/>
      <c r="L7" s="370"/>
      <c r="M7" s="11"/>
    </row>
    <row r="8" spans="1:14" ht="15.75" x14ac:dyDescent="0.2">
      <c r="A8" s="21" t="s">
        <v>25</v>
      </c>
      <c r="B8" s="279"/>
      <c r="C8" s="280"/>
      <c r="D8" s="166"/>
      <c r="E8" s="27"/>
      <c r="F8" s="283"/>
      <c r="G8" s="284"/>
      <c r="H8" s="166"/>
      <c r="I8" s="175"/>
      <c r="J8" s="232"/>
      <c r="K8" s="285"/>
      <c r="L8" s="252"/>
      <c r="M8" s="27"/>
    </row>
    <row r="9" spans="1:14" ht="15.75" x14ac:dyDescent="0.2">
      <c r="A9" s="21" t="s">
        <v>24</v>
      </c>
      <c r="B9" s="279"/>
      <c r="C9" s="280"/>
      <c r="D9" s="166"/>
      <c r="E9" s="27"/>
      <c r="F9" s="283"/>
      <c r="G9" s="284"/>
      <c r="H9" s="166"/>
      <c r="I9" s="175"/>
      <c r="J9" s="232"/>
      <c r="K9" s="285"/>
      <c r="L9" s="252"/>
      <c r="M9" s="27"/>
    </row>
    <row r="10" spans="1:14" ht="15.75" x14ac:dyDescent="0.2">
      <c r="A10" s="13" t="s">
        <v>371</v>
      </c>
      <c r="B10" s="308"/>
      <c r="C10" s="309"/>
      <c r="D10" s="171"/>
      <c r="E10" s="11"/>
      <c r="F10" s="308"/>
      <c r="G10" s="309"/>
      <c r="H10" s="171"/>
      <c r="I10" s="160"/>
      <c r="J10" s="306"/>
      <c r="K10" s="307"/>
      <c r="L10" s="371"/>
      <c r="M10" s="11"/>
    </row>
    <row r="11" spans="1:14" s="43" customFormat="1" ht="15.75" x14ac:dyDescent="0.2">
      <c r="A11" s="13" t="s">
        <v>372</v>
      </c>
      <c r="B11" s="308"/>
      <c r="C11" s="309"/>
      <c r="D11" s="171"/>
      <c r="E11" s="11"/>
      <c r="F11" s="308"/>
      <c r="G11" s="309"/>
      <c r="H11" s="171"/>
      <c r="I11" s="160"/>
      <c r="J11" s="306"/>
      <c r="K11" s="307"/>
      <c r="L11" s="371"/>
      <c r="M11" s="11"/>
      <c r="N11" s="143"/>
    </row>
    <row r="12" spans="1:14" s="43" customFormat="1" ht="15.75" x14ac:dyDescent="0.2">
      <c r="A12" s="41" t="s">
        <v>373</v>
      </c>
      <c r="B12" s="310"/>
      <c r="C12" s="311"/>
      <c r="D12" s="169"/>
      <c r="E12" s="36"/>
      <c r="F12" s="310"/>
      <c r="G12" s="311"/>
      <c r="H12" s="169"/>
      <c r="I12" s="169"/>
      <c r="J12" s="312"/>
      <c r="K12" s="313"/>
      <c r="L12" s="372"/>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95"/>
      <c r="C18" s="695"/>
      <c r="D18" s="695"/>
      <c r="E18" s="297"/>
      <c r="F18" s="695"/>
      <c r="G18" s="695"/>
      <c r="H18" s="695"/>
      <c r="I18" s="297"/>
      <c r="J18" s="695"/>
      <c r="K18" s="695"/>
      <c r="L18" s="695"/>
      <c r="M18" s="297"/>
    </row>
    <row r="19" spans="1:14" x14ac:dyDescent="0.2">
      <c r="A19" s="144"/>
      <c r="B19" s="696" t="s">
        <v>0</v>
      </c>
      <c r="C19" s="697"/>
      <c r="D19" s="697"/>
      <c r="E19" s="299"/>
      <c r="F19" s="696" t="s">
        <v>1</v>
      </c>
      <c r="G19" s="697"/>
      <c r="H19" s="697"/>
      <c r="I19" s="302"/>
      <c r="J19" s="696" t="s">
        <v>2</v>
      </c>
      <c r="K19" s="697"/>
      <c r="L19" s="697"/>
      <c r="M19" s="302"/>
    </row>
    <row r="20" spans="1:14" x14ac:dyDescent="0.2">
      <c r="A20" s="140" t="s">
        <v>5</v>
      </c>
      <c r="B20" s="152" t="s">
        <v>422</v>
      </c>
      <c r="C20" s="152" t="s">
        <v>423</v>
      </c>
      <c r="D20" s="162" t="s">
        <v>3</v>
      </c>
      <c r="E20" s="303" t="s">
        <v>29</v>
      </c>
      <c r="F20" s="152" t="s">
        <v>422</v>
      </c>
      <c r="G20" s="152" t="s">
        <v>423</v>
      </c>
      <c r="H20" s="162" t="s">
        <v>3</v>
      </c>
      <c r="I20" s="162" t="s">
        <v>29</v>
      </c>
      <c r="J20" s="152" t="s">
        <v>422</v>
      </c>
      <c r="K20" s="152" t="s">
        <v>423</v>
      </c>
      <c r="L20" s="162" t="s">
        <v>3</v>
      </c>
      <c r="M20" s="162" t="s">
        <v>29</v>
      </c>
    </row>
    <row r="21" spans="1:14" x14ac:dyDescent="0.2">
      <c r="A21" s="666"/>
      <c r="B21" s="156"/>
      <c r="C21" s="156"/>
      <c r="D21" s="244" t="s">
        <v>4</v>
      </c>
      <c r="E21" s="156" t="s">
        <v>30</v>
      </c>
      <c r="F21" s="161"/>
      <c r="G21" s="161"/>
      <c r="H21" s="243" t="s">
        <v>4</v>
      </c>
      <c r="I21" s="156" t="s">
        <v>30</v>
      </c>
      <c r="J21" s="161"/>
      <c r="K21" s="161"/>
      <c r="L21" s="156" t="s">
        <v>4</v>
      </c>
      <c r="M21" s="156" t="s">
        <v>30</v>
      </c>
    </row>
    <row r="22" spans="1:14" ht="15.75" x14ac:dyDescent="0.2">
      <c r="A22" s="14" t="s">
        <v>23</v>
      </c>
      <c r="B22" s="308"/>
      <c r="C22" s="308"/>
      <c r="D22" s="347"/>
      <c r="E22" s="11"/>
      <c r="F22" s="316"/>
      <c r="G22" s="316"/>
      <c r="H22" s="347"/>
      <c r="I22" s="11"/>
      <c r="J22" s="314"/>
      <c r="K22" s="314"/>
      <c r="L22" s="370"/>
      <c r="M22" s="24"/>
    </row>
    <row r="23" spans="1:14" ht="15.75" x14ac:dyDescent="0.2">
      <c r="A23" s="551" t="s">
        <v>374</v>
      </c>
      <c r="B23" s="279"/>
      <c r="C23" s="279"/>
      <c r="D23" s="166"/>
      <c r="E23" s="11"/>
      <c r="F23" s="288"/>
      <c r="G23" s="288"/>
      <c r="H23" s="166"/>
      <c r="I23" s="363"/>
      <c r="J23" s="288"/>
      <c r="K23" s="288"/>
      <c r="L23" s="166"/>
      <c r="M23" s="23"/>
    </row>
    <row r="24" spans="1:14" ht="15.75" x14ac:dyDescent="0.2">
      <c r="A24" s="551" t="s">
        <v>375</v>
      </c>
      <c r="B24" s="279"/>
      <c r="C24" s="279"/>
      <c r="D24" s="166"/>
      <c r="E24" s="11"/>
      <c r="F24" s="288"/>
      <c r="G24" s="288"/>
      <c r="H24" s="166"/>
      <c r="I24" s="363"/>
      <c r="J24" s="288"/>
      <c r="K24" s="288"/>
      <c r="L24" s="166"/>
      <c r="M24" s="23"/>
    </row>
    <row r="25" spans="1:14" ht="15.75" x14ac:dyDescent="0.2">
      <c r="A25" s="551" t="s">
        <v>376</v>
      </c>
      <c r="B25" s="279"/>
      <c r="C25" s="279"/>
      <c r="D25" s="166"/>
      <c r="E25" s="11"/>
      <c r="F25" s="288"/>
      <c r="G25" s="288"/>
      <c r="H25" s="166"/>
      <c r="I25" s="363"/>
      <c r="J25" s="288"/>
      <c r="K25" s="288"/>
      <c r="L25" s="166"/>
      <c r="M25" s="23"/>
    </row>
    <row r="26" spans="1:14" ht="15.75" x14ac:dyDescent="0.2">
      <c r="A26" s="551" t="s">
        <v>377</v>
      </c>
      <c r="B26" s="279"/>
      <c r="C26" s="279"/>
      <c r="D26" s="166"/>
      <c r="E26" s="11"/>
      <c r="F26" s="288"/>
      <c r="G26" s="288"/>
      <c r="H26" s="166"/>
      <c r="I26" s="363"/>
      <c r="J26" s="288"/>
      <c r="K26" s="288"/>
      <c r="L26" s="166"/>
      <c r="M26" s="23"/>
    </row>
    <row r="27" spans="1:14" x14ac:dyDescent="0.2">
      <c r="A27" s="551" t="s">
        <v>11</v>
      </c>
      <c r="B27" s="279"/>
      <c r="C27" s="279"/>
      <c r="D27" s="166"/>
      <c r="E27" s="11"/>
      <c r="F27" s="288"/>
      <c r="G27" s="288"/>
      <c r="H27" s="166"/>
      <c r="I27" s="363"/>
      <c r="J27" s="288"/>
      <c r="K27" s="288"/>
      <c r="L27" s="166"/>
      <c r="M27" s="23"/>
    </row>
    <row r="28" spans="1:14" ht="15.75" x14ac:dyDescent="0.2">
      <c r="A28" s="49" t="s">
        <v>282</v>
      </c>
      <c r="B28" s="44"/>
      <c r="C28" s="285"/>
      <c r="D28" s="166"/>
      <c r="E28" s="11"/>
      <c r="F28" s="232"/>
      <c r="G28" s="285"/>
      <c r="H28" s="166"/>
      <c r="I28" s="27"/>
      <c r="J28" s="44"/>
      <c r="K28" s="44"/>
      <c r="L28" s="252"/>
      <c r="M28" s="23"/>
    </row>
    <row r="29" spans="1:14" s="3" customFormat="1" ht="15.75" x14ac:dyDescent="0.2">
      <c r="A29" s="13" t="s">
        <v>371</v>
      </c>
      <c r="B29" s="234"/>
      <c r="C29" s="234"/>
      <c r="D29" s="171"/>
      <c r="E29" s="11"/>
      <c r="F29" s="306"/>
      <c r="G29" s="306"/>
      <c r="H29" s="171"/>
      <c r="I29" s="11"/>
      <c r="J29" s="234"/>
      <c r="K29" s="234"/>
      <c r="L29" s="371"/>
      <c r="M29" s="24"/>
      <c r="N29" s="148"/>
    </row>
    <row r="30" spans="1:14" s="3" customFormat="1" ht="15.75" x14ac:dyDescent="0.2">
      <c r="A30" s="551" t="s">
        <v>374</v>
      </c>
      <c r="B30" s="279"/>
      <c r="C30" s="279"/>
      <c r="D30" s="166"/>
      <c r="E30" s="11"/>
      <c r="F30" s="288"/>
      <c r="G30" s="288"/>
      <c r="H30" s="166"/>
      <c r="I30" s="363"/>
      <c r="J30" s="288"/>
      <c r="K30" s="288"/>
      <c r="L30" s="166"/>
      <c r="M30" s="23"/>
      <c r="N30" s="148"/>
    </row>
    <row r="31" spans="1:14" s="3" customFormat="1" ht="15.75" x14ac:dyDescent="0.2">
      <c r="A31" s="551" t="s">
        <v>375</v>
      </c>
      <c r="B31" s="279"/>
      <c r="C31" s="279"/>
      <c r="D31" s="166"/>
      <c r="E31" s="11"/>
      <c r="F31" s="288"/>
      <c r="G31" s="288"/>
      <c r="H31" s="166"/>
      <c r="I31" s="363"/>
      <c r="J31" s="288"/>
      <c r="K31" s="288"/>
      <c r="L31" s="166"/>
      <c r="M31" s="23"/>
      <c r="N31" s="148"/>
    </row>
    <row r="32" spans="1:14" ht="15.75" x14ac:dyDescent="0.2">
      <c r="A32" s="551" t="s">
        <v>376</v>
      </c>
      <c r="B32" s="279"/>
      <c r="C32" s="279"/>
      <c r="D32" s="166"/>
      <c r="E32" s="11"/>
      <c r="F32" s="288"/>
      <c r="G32" s="288"/>
      <c r="H32" s="166"/>
      <c r="I32" s="363"/>
      <c r="J32" s="288"/>
      <c r="K32" s="288"/>
      <c r="L32" s="166"/>
      <c r="M32" s="23"/>
    </row>
    <row r="33" spans="1:14" ht="15.75" x14ac:dyDescent="0.2">
      <c r="A33" s="551" t="s">
        <v>377</v>
      </c>
      <c r="B33" s="279"/>
      <c r="C33" s="279"/>
      <c r="D33" s="166"/>
      <c r="E33" s="11"/>
      <c r="F33" s="288"/>
      <c r="G33" s="288"/>
      <c r="H33" s="166"/>
      <c r="I33" s="363"/>
      <c r="J33" s="288"/>
      <c r="K33" s="288"/>
      <c r="L33" s="166"/>
      <c r="M33" s="23"/>
    </row>
    <row r="34" spans="1:14" ht="15.75" x14ac:dyDescent="0.2">
      <c r="A34" s="13" t="s">
        <v>372</v>
      </c>
      <c r="B34" s="234"/>
      <c r="C34" s="307"/>
      <c r="D34" s="171"/>
      <c r="E34" s="11"/>
      <c r="F34" s="306"/>
      <c r="G34" s="307"/>
      <c r="H34" s="171"/>
      <c r="I34" s="11"/>
      <c r="J34" s="234"/>
      <c r="K34" s="234"/>
      <c r="L34" s="371"/>
      <c r="M34" s="24"/>
    </row>
    <row r="35" spans="1:14" ht="15.75" x14ac:dyDescent="0.2">
      <c r="A35" s="13" t="s">
        <v>373</v>
      </c>
      <c r="B35" s="234"/>
      <c r="C35" s="307"/>
      <c r="D35" s="171"/>
      <c r="E35" s="11"/>
      <c r="F35" s="306"/>
      <c r="G35" s="307"/>
      <c r="H35" s="171"/>
      <c r="I35" s="11"/>
      <c r="J35" s="234"/>
      <c r="K35" s="234"/>
      <c r="L35" s="371"/>
      <c r="M35" s="24"/>
    </row>
    <row r="36" spans="1:14" ht="15.75" x14ac:dyDescent="0.2">
      <c r="A36" s="12" t="s">
        <v>290</v>
      </c>
      <c r="B36" s="234"/>
      <c r="C36" s="307"/>
      <c r="D36" s="171"/>
      <c r="E36" s="11"/>
      <c r="F36" s="317"/>
      <c r="G36" s="318"/>
      <c r="H36" s="171"/>
      <c r="I36" s="377"/>
      <c r="J36" s="234"/>
      <c r="K36" s="234"/>
      <c r="L36" s="371"/>
      <c r="M36" s="24"/>
    </row>
    <row r="37" spans="1:14" ht="15.75" x14ac:dyDescent="0.2">
      <c r="A37" s="12" t="s">
        <v>379</v>
      </c>
      <c r="B37" s="234"/>
      <c r="C37" s="307"/>
      <c r="D37" s="171"/>
      <c r="E37" s="11"/>
      <c r="F37" s="317"/>
      <c r="G37" s="319"/>
      <c r="H37" s="171"/>
      <c r="I37" s="377"/>
      <c r="J37" s="234"/>
      <c r="K37" s="234"/>
      <c r="L37" s="371"/>
      <c r="M37" s="24"/>
    </row>
    <row r="38" spans="1:14" ht="15.75" x14ac:dyDescent="0.2">
      <c r="A38" s="12" t="s">
        <v>380</v>
      </c>
      <c r="B38" s="234"/>
      <c r="C38" s="307"/>
      <c r="D38" s="171"/>
      <c r="E38" s="24"/>
      <c r="F38" s="317"/>
      <c r="G38" s="318"/>
      <c r="H38" s="171"/>
      <c r="I38" s="377"/>
      <c r="J38" s="234"/>
      <c r="K38" s="234"/>
      <c r="L38" s="371"/>
      <c r="M38" s="24"/>
    </row>
    <row r="39" spans="1:14" ht="15.75" x14ac:dyDescent="0.2">
      <c r="A39" s="18" t="s">
        <v>381</v>
      </c>
      <c r="B39" s="274"/>
      <c r="C39" s="313"/>
      <c r="D39" s="169"/>
      <c r="E39" s="36"/>
      <c r="F39" s="320"/>
      <c r="G39" s="321"/>
      <c r="H39" s="169"/>
      <c r="I39" s="36"/>
      <c r="J39" s="234"/>
      <c r="K39" s="234"/>
      <c r="L39" s="372"/>
      <c r="M39" s="36"/>
    </row>
    <row r="40" spans="1:14" ht="15.75" x14ac:dyDescent="0.25">
      <c r="A40" s="47"/>
      <c r="B40" s="251"/>
      <c r="C40" s="251"/>
      <c r="D40" s="699"/>
      <c r="E40" s="699"/>
      <c r="F40" s="699"/>
      <c r="G40" s="699"/>
      <c r="H40" s="699"/>
      <c r="I40" s="699"/>
      <c r="J40" s="699"/>
      <c r="K40" s="699"/>
      <c r="L40" s="699"/>
      <c r="M40" s="300"/>
    </row>
    <row r="41" spans="1:14" x14ac:dyDescent="0.2">
      <c r="A41" s="155"/>
    </row>
    <row r="42" spans="1:14" ht="15.75" x14ac:dyDescent="0.25">
      <c r="A42" s="147" t="s">
        <v>279</v>
      </c>
      <c r="B42" s="700"/>
      <c r="C42" s="700"/>
      <c r="D42" s="700"/>
      <c r="E42" s="297"/>
      <c r="F42" s="701"/>
      <c r="G42" s="701"/>
      <c r="H42" s="701"/>
      <c r="I42" s="300"/>
      <c r="J42" s="701"/>
      <c r="K42" s="701"/>
      <c r="L42" s="701"/>
      <c r="M42" s="300"/>
    </row>
    <row r="43" spans="1:14" ht="15.75" x14ac:dyDescent="0.25">
      <c r="A43" s="163"/>
      <c r="B43" s="301"/>
      <c r="C43" s="301"/>
      <c r="D43" s="301"/>
      <c r="E43" s="301"/>
      <c r="F43" s="300"/>
      <c r="G43" s="300"/>
      <c r="H43" s="300"/>
      <c r="I43" s="300"/>
      <c r="J43" s="300"/>
      <c r="K43" s="300"/>
      <c r="L43" s="300"/>
      <c r="M43" s="300"/>
    </row>
    <row r="44" spans="1:14" ht="15.75" x14ac:dyDescent="0.25">
      <c r="A44" s="245"/>
      <c r="B44" s="696" t="s">
        <v>0</v>
      </c>
      <c r="C44" s="697"/>
      <c r="D44" s="697"/>
      <c r="E44" s="241"/>
      <c r="F44" s="300"/>
      <c r="G44" s="300"/>
      <c r="H44" s="300"/>
      <c r="I44" s="300"/>
      <c r="J44" s="300"/>
      <c r="K44" s="300"/>
      <c r="L44" s="300"/>
      <c r="M44" s="300"/>
    </row>
    <row r="45" spans="1:14" s="3" customFormat="1" x14ac:dyDescent="0.2">
      <c r="A45" s="140"/>
      <c r="B45" s="152" t="s">
        <v>422</v>
      </c>
      <c r="C45" s="152" t="s">
        <v>423</v>
      </c>
      <c r="D45" s="162" t="s">
        <v>3</v>
      </c>
      <c r="E45" s="162" t="s">
        <v>29</v>
      </c>
      <c r="F45" s="174"/>
      <c r="G45" s="174"/>
      <c r="H45" s="173"/>
      <c r="I45" s="173"/>
      <c r="J45" s="174"/>
      <c r="K45" s="174"/>
      <c r="L45" s="173"/>
      <c r="M45" s="173"/>
      <c r="N45" s="148"/>
    </row>
    <row r="46" spans="1:14" s="3" customFormat="1" x14ac:dyDescent="0.2">
      <c r="A46" s="666"/>
      <c r="B46" s="242"/>
      <c r="C46" s="242"/>
      <c r="D46" s="243" t="s">
        <v>4</v>
      </c>
      <c r="E46" s="156" t="s">
        <v>30</v>
      </c>
      <c r="F46" s="173"/>
      <c r="G46" s="173"/>
      <c r="H46" s="173"/>
      <c r="I46" s="173"/>
      <c r="J46" s="173"/>
      <c r="K46" s="173"/>
      <c r="L46" s="173"/>
      <c r="M46" s="173"/>
      <c r="N46" s="148"/>
    </row>
    <row r="47" spans="1:14" s="3" customFormat="1" ht="15.75" x14ac:dyDescent="0.2">
      <c r="A47" s="14" t="s">
        <v>23</v>
      </c>
      <c r="B47" s="308"/>
      <c r="C47" s="309"/>
      <c r="D47" s="370"/>
      <c r="E47" s="11"/>
      <c r="F47" s="145"/>
      <c r="G47" s="33"/>
      <c r="H47" s="159"/>
      <c r="I47" s="159"/>
      <c r="J47" s="37"/>
      <c r="K47" s="37"/>
      <c r="L47" s="159"/>
      <c r="M47" s="159"/>
      <c r="N47" s="148"/>
    </row>
    <row r="48" spans="1:14" s="3" customFormat="1" ht="15.75" x14ac:dyDescent="0.2">
      <c r="A48" s="38" t="s">
        <v>382</v>
      </c>
      <c r="B48" s="279"/>
      <c r="C48" s="280"/>
      <c r="D48" s="252"/>
      <c r="E48" s="27"/>
      <c r="F48" s="145"/>
      <c r="G48" s="33"/>
      <c r="H48" s="145"/>
      <c r="I48" s="145"/>
      <c r="J48" s="33"/>
      <c r="K48" s="33"/>
      <c r="L48" s="159"/>
      <c r="M48" s="159"/>
      <c r="N48" s="148"/>
    </row>
    <row r="49" spans="1:14" s="3" customFormat="1" ht="15.75" x14ac:dyDescent="0.2">
      <c r="A49" s="38" t="s">
        <v>383</v>
      </c>
      <c r="B49" s="44"/>
      <c r="C49" s="285"/>
      <c r="D49" s="252"/>
      <c r="E49" s="27"/>
      <c r="F49" s="145"/>
      <c r="G49" s="33"/>
      <c r="H49" s="145"/>
      <c r="I49" s="145"/>
      <c r="J49" s="37"/>
      <c r="K49" s="37"/>
      <c r="L49" s="159"/>
      <c r="M49" s="159"/>
      <c r="N49" s="148"/>
    </row>
    <row r="50" spans="1:14" s="3" customFormat="1" x14ac:dyDescent="0.2">
      <c r="A50" s="294" t="s">
        <v>6</v>
      </c>
      <c r="B50" s="288"/>
      <c r="C50" s="289"/>
      <c r="D50" s="252"/>
      <c r="E50" s="23"/>
      <c r="F50" s="145"/>
      <c r="G50" s="33"/>
      <c r="H50" s="145"/>
      <c r="I50" s="145"/>
      <c r="J50" s="33"/>
      <c r="K50" s="33"/>
      <c r="L50" s="159"/>
      <c r="M50" s="159"/>
      <c r="N50" s="148"/>
    </row>
    <row r="51" spans="1:14" s="3" customFormat="1" x14ac:dyDescent="0.2">
      <c r="A51" s="294" t="s">
        <v>7</v>
      </c>
      <c r="B51" s="288"/>
      <c r="C51" s="289"/>
      <c r="D51" s="252"/>
      <c r="E51" s="23"/>
      <c r="F51" s="145"/>
      <c r="G51" s="33"/>
      <c r="H51" s="145"/>
      <c r="I51" s="145"/>
      <c r="J51" s="33"/>
      <c r="K51" s="33"/>
      <c r="L51" s="159"/>
      <c r="M51" s="159"/>
      <c r="N51" s="148"/>
    </row>
    <row r="52" spans="1:14" s="3" customFormat="1" x14ac:dyDescent="0.2">
      <c r="A52" s="294" t="s">
        <v>8</v>
      </c>
      <c r="B52" s="288"/>
      <c r="C52" s="289"/>
      <c r="D52" s="252"/>
      <c r="E52" s="23"/>
      <c r="F52" s="145"/>
      <c r="G52" s="33"/>
      <c r="H52" s="145"/>
      <c r="I52" s="145"/>
      <c r="J52" s="33"/>
      <c r="K52" s="33"/>
      <c r="L52" s="159"/>
      <c r="M52" s="159"/>
      <c r="N52" s="148"/>
    </row>
    <row r="53" spans="1:14" s="3" customFormat="1" ht="15.75" x14ac:dyDescent="0.2">
      <c r="A53" s="39" t="s">
        <v>384</v>
      </c>
      <c r="B53" s="308"/>
      <c r="C53" s="309"/>
      <c r="D53" s="371"/>
      <c r="E53" s="11"/>
      <c r="F53" s="145"/>
      <c r="G53" s="33"/>
      <c r="H53" s="145"/>
      <c r="I53" s="145"/>
      <c r="J53" s="33"/>
      <c r="K53" s="33"/>
      <c r="L53" s="159"/>
      <c r="M53" s="159"/>
      <c r="N53" s="148"/>
    </row>
    <row r="54" spans="1:14" s="3" customFormat="1" ht="15.75" x14ac:dyDescent="0.2">
      <c r="A54" s="38" t="s">
        <v>382</v>
      </c>
      <c r="B54" s="279"/>
      <c r="C54" s="280"/>
      <c r="D54" s="252"/>
      <c r="E54" s="27"/>
      <c r="F54" s="145"/>
      <c r="G54" s="33"/>
      <c r="H54" s="145"/>
      <c r="I54" s="145"/>
      <c r="J54" s="33"/>
      <c r="K54" s="33"/>
      <c r="L54" s="159"/>
      <c r="M54" s="159"/>
      <c r="N54" s="148"/>
    </row>
    <row r="55" spans="1:14" s="3" customFormat="1" ht="15.75" x14ac:dyDescent="0.2">
      <c r="A55" s="38" t="s">
        <v>383</v>
      </c>
      <c r="B55" s="279"/>
      <c r="C55" s="280"/>
      <c r="D55" s="252"/>
      <c r="E55" s="27"/>
      <c r="F55" s="145"/>
      <c r="G55" s="33"/>
      <c r="H55" s="145"/>
      <c r="I55" s="145"/>
      <c r="J55" s="33"/>
      <c r="K55" s="33"/>
      <c r="L55" s="159"/>
      <c r="M55" s="159"/>
      <c r="N55" s="148"/>
    </row>
    <row r="56" spans="1:14" s="3" customFormat="1" ht="15.75" x14ac:dyDescent="0.2">
      <c r="A56" s="39" t="s">
        <v>385</v>
      </c>
      <c r="B56" s="308"/>
      <c r="C56" s="309"/>
      <c r="D56" s="371"/>
      <c r="E56" s="11"/>
      <c r="F56" s="145"/>
      <c r="G56" s="33"/>
      <c r="H56" s="145"/>
      <c r="I56" s="145"/>
      <c r="J56" s="33"/>
      <c r="K56" s="33"/>
      <c r="L56" s="159"/>
      <c r="M56" s="159"/>
      <c r="N56" s="148"/>
    </row>
    <row r="57" spans="1:14" s="3" customFormat="1" ht="15.75" x14ac:dyDescent="0.2">
      <c r="A57" s="38" t="s">
        <v>382</v>
      </c>
      <c r="B57" s="279"/>
      <c r="C57" s="280"/>
      <c r="D57" s="252"/>
      <c r="E57" s="27"/>
      <c r="F57" s="145"/>
      <c r="G57" s="33"/>
      <c r="H57" s="145"/>
      <c r="I57" s="145"/>
      <c r="J57" s="33"/>
      <c r="K57" s="33"/>
      <c r="L57" s="159"/>
      <c r="M57" s="159"/>
      <c r="N57" s="148"/>
    </row>
    <row r="58" spans="1:14" s="3" customFormat="1" ht="15.75" x14ac:dyDescent="0.2">
      <c r="A58" s="46" t="s">
        <v>383</v>
      </c>
      <c r="B58" s="281"/>
      <c r="C58" s="282"/>
      <c r="D58" s="253"/>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95"/>
      <c r="C62" s="695"/>
      <c r="D62" s="695"/>
      <c r="E62" s="297"/>
      <c r="F62" s="695"/>
      <c r="G62" s="695"/>
      <c r="H62" s="695"/>
      <c r="I62" s="297"/>
      <c r="J62" s="695"/>
      <c r="K62" s="695"/>
      <c r="L62" s="695"/>
      <c r="M62" s="297"/>
    </row>
    <row r="63" spans="1:14" x14ac:dyDescent="0.2">
      <c r="A63" s="144"/>
      <c r="B63" s="696" t="s">
        <v>0</v>
      </c>
      <c r="C63" s="697"/>
      <c r="D63" s="698"/>
      <c r="E63" s="298"/>
      <c r="F63" s="697" t="s">
        <v>1</v>
      </c>
      <c r="G63" s="697"/>
      <c r="H63" s="697"/>
      <c r="I63" s="302"/>
      <c r="J63" s="696" t="s">
        <v>2</v>
      </c>
      <c r="K63" s="697"/>
      <c r="L63" s="697"/>
      <c r="M63" s="302"/>
    </row>
    <row r="64" spans="1:14" x14ac:dyDescent="0.2">
      <c r="A64" s="140"/>
      <c r="B64" s="152" t="s">
        <v>422</v>
      </c>
      <c r="C64" s="152" t="s">
        <v>423</v>
      </c>
      <c r="D64" s="243" t="s">
        <v>3</v>
      </c>
      <c r="E64" s="303" t="s">
        <v>29</v>
      </c>
      <c r="F64" s="152" t="s">
        <v>422</v>
      </c>
      <c r="G64" s="152" t="s">
        <v>423</v>
      </c>
      <c r="H64" s="243" t="s">
        <v>3</v>
      </c>
      <c r="I64" s="303" t="s">
        <v>29</v>
      </c>
      <c r="J64" s="152" t="s">
        <v>422</v>
      </c>
      <c r="K64" s="152" t="s">
        <v>423</v>
      </c>
      <c r="L64" s="243" t="s">
        <v>3</v>
      </c>
      <c r="M64" s="162" t="s">
        <v>29</v>
      </c>
    </row>
    <row r="65" spans="1:14" x14ac:dyDescent="0.2">
      <c r="A65" s="666"/>
      <c r="B65" s="156"/>
      <c r="C65" s="156"/>
      <c r="D65" s="244" t="s">
        <v>4</v>
      </c>
      <c r="E65" s="156" t="s">
        <v>30</v>
      </c>
      <c r="F65" s="161"/>
      <c r="G65" s="161"/>
      <c r="H65" s="243" t="s">
        <v>4</v>
      </c>
      <c r="I65" s="156" t="s">
        <v>30</v>
      </c>
      <c r="J65" s="161"/>
      <c r="K65" s="205"/>
      <c r="L65" s="156" t="s">
        <v>4</v>
      </c>
      <c r="M65" s="156" t="s">
        <v>30</v>
      </c>
    </row>
    <row r="66" spans="1:14" ht="15.75" x14ac:dyDescent="0.2">
      <c r="A66" s="14" t="s">
        <v>23</v>
      </c>
      <c r="B66" s="350">
        <v>46821</v>
      </c>
      <c r="C66" s="350">
        <v>47990</v>
      </c>
      <c r="D66" s="347">
        <f t="shared" ref="D66:D111" si="0">IF(B66=0, "    ---- ", IF(ABS(ROUND(100/B66*C66-100,1))&lt;999,ROUND(100/B66*C66-100,1),IF(ROUND(100/B66*C66-100,1)&gt;999,999,-999)))</f>
        <v>2.5</v>
      </c>
      <c r="E66" s="11">
        <f>IFERROR(100/'Skjema total MA'!C66*C66,0)</f>
        <v>0.89343647280563376</v>
      </c>
      <c r="F66" s="349">
        <v>210392</v>
      </c>
      <c r="G66" s="349">
        <v>267105</v>
      </c>
      <c r="H66" s="347">
        <f t="shared" ref="H66:H111" si="1">IF(F66=0, "    ---- ", IF(ABS(ROUND(100/F66*G66-100,1))&lt;999,ROUND(100/F66*G66-100,1),IF(ROUND(100/F66*G66-100,1)&gt;999,999,-999)))</f>
        <v>27</v>
      </c>
      <c r="I66" s="11">
        <f>IFERROR(100/'Skjema total MA'!F66*G66,0)</f>
        <v>1.6987409813032095</v>
      </c>
      <c r="J66" s="307">
        <f t="shared" ref="J66:K79" si="2">SUM(B66,F66)</f>
        <v>257213</v>
      </c>
      <c r="K66" s="314">
        <f t="shared" si="2"/>
        <v>315095</v>
      </c>
      <c r="L66" s="371">
        <f t="shared" ref="L66:L111" si="3">IF(J66=0, "    ---- ", IF(ABS(ROUND(100/J66*K66-100,1))&lt;999,ROUND(100/J66*K66-100,1),IF(ROUND(100/J66*K66-100,1)&gt;999,999,-999)))</f>
        <v>22.5</v>
      </c>
      <c r="M66" s="11">
        <f>IFERROR(100/'Skjema total MA'!I66*K66,0)</f>
        <v>1.4936882096656385</v>
      </c>
    </row>
    <row r="67" spans="1:14" x14ac:dyDescent="0.2">
      <c r="A67" s="365" t="s">
        <v>9</v>
      </c>
      <c r="B67" s="44">
        <v>46821</v>
      </c>
      <c r="C67" s="145">
        <v>47990</v>
      </c>
      <c r="D67" s="166">
        <f t="shared" si="0"/>
        <v>2.5</v>
      </c>
      <c r="E67" s="27">
        <f>IFERROR(100/'Skjema total MA'!C67*C67,0)</f>
        <v>1.1497309665258093</v>
      </c>
      <c r="F67" s="232"/>
      <c r="G67" s="145"/>
      <c r="H67" s="166"/>
      <c r="I67" s="27"/>
      <c r="J67" s="285">
        <f t="shared" si="2"/>
        <v>46821</v>
      </c>
      <c r="K67" s="44">
        <f t="shared" si="2"/>
        <v>47990</v>
      </c>
      <c r="L67" s="252">
        <f t="shared" si="3"/>
        <v>2.5</v>
      </c>
      <c r="M67" s="27">
        <f>IFERROR(100/'Skjema total MA'!I67*K67,0)</f>
        <v>1.1497309665258093</v>
      </c>
    </row>
    <row r="68" spans="1:14" x14ac:dyDescent="0.2">
      <c r="A68" s="21" t="s">
        <v>10</v>
      </c>
      <c r="B68" s="290"/>
      <c r="C68" s="291"/>
      <c r="D68" s="166"/>
      <c r="E68" s="27"/>
      <c r="F68" s="290">
        <v>210392</v>
      </c>
      <c r="G68" s="291">
        <v>267105</v>
      </c>
      <c r="H68" s="166">
        <f t="shared" si="1"/>
        <v>27</v>
      </c>
      <c r="I68" s="27">
        <f>IFERROR(100/'Skjema total MA'!F68*G68,0)</f>
        <v>1.7215714337651975</v>
      </c>
      <c r="J68" s="285">
        <f t="shared" si="2"/>
        <v>210392</v>
      </c>
      <c r="K68" s="44">
        <f t="shared" si="2"/>
        <v>267105</v>
      </c>
      <c r="L68" s="252">
        <f t="shared" si="3"/>
        <v>27</v>
      </c>
      <c r="M68" s="27">
        <f>IFERROR(100/'Skjema total MA'!I68*K68,0)</f>
        <v>1.709073421168396</v>
      </c>
    </row>
    <row r="69" spans="1:14" ht="15.75" x14ac:dyDescent="0.2">
      <c r="A69" s="294" t="s">
        <v>386</v>
      </c>
      <c r="B69" s="279"/>
      <c r="C69" s="279"/>
      <c r="D69" s="166"/>
      <c r="E69" s="363"/>
      <c r="F69" s="279"/>
      <c r="G69" s="279"/>
      <c r="H69" s="166"/>
      <c r="I69" s="363"/>
      <c r="J69" s="288"/>
      <c r="K69" s="288"/>
      <c r="L69" s="166"/>
      <c r="M69" s="23"/>
    </row>
    <row r="70" spans="1:14" x14ac:dyDescent="0.2">
      <c r="A70" s="294" t="s">
        <v>12</v>
      </c>
      <c r="B70" s="292"/>
      <c r="C70" s="293"/>
      <c r="D70" s="166"/>
      <c r="E70" s="363"/>
      <c r="F70" s="279"/>
      <c r="G70" s="279"/>
      <c r="H70" s="166"/>
      <c r="I70" s="363"/>
      <c r="J70" s="288"/>
      <c r="K70" s="288"/>
      <c r="L70" s="166"/>
      <c r="M70" s="23"/>
    </row>
    <row r="71" spans="1:14" x14ac:dyDescent="0.2">
      <c r="A71" s="294" t="s">
        <v>13</v>
      </c>
      <c r="B71" s="233"/>
      <c r="C71" s="287"/>
      <c r="D71" s="166"/>
      <c r="E71" s="363"/>
      <c r="F71" s="279"/>
      <c r="G71" s="279"/>
      <c r="H71" s="166"/>
      <c r="I71" s="363"/>
      <c r="J71" s="288"/>
      <c r="K71" s="288"/>
      <c r="L71" s="166"/>
      <c r="M71" s="23"/>
    </row>
    <row r="72" spans="1:14" ht="15.75" x14ac:dyDescent="0.2">
      <c r="A72" s="294" t="s">
        <v>387</v>
      </c>
      <c r="B72" s="279"/>
      <c r="C72" s="279"/>
      <c r="D72" s="166"/>
      <c r="E72" s="363"/>
      <c r="F72" s="279"/>
      <c r="G72" s="279"/>
      <c r="H72" s="166"/>
      <c r="I72" s="363"/>
      <c r="J72" s="288"/>
      <c r="K72" s="288"/>
      <c r="L72" s="166"/>
      <c r="M72" s="23"/>
    </row>
    <row r="73" spans="1:14" x14ac:dyDescent="0.2">
      <c r="A73" s="294" t="s">
        <v>12</v>
      </c>
      <c r="B73" s="233"/>
      <c r="C73" s="287"/>
      <c r="D73" s="166"/>
      <c r="E73" s="363"/>
      <c r="F73" s="279"/>
      <c r="G73" s="279"/>
      <c r="H73" s="166"/>
      <c r="I73" s="363"/>
      <c r="J73" s="288"/>
      <c r="K73" s="288"/>
      <c r="L73" s="166"/>
      <c r="M73" s="23"/>
    </row>
    <row r="74" spans="1:14" s="3" customFormat="1" x14ac:dyDescent="0.2">
      <c r="A74" s="294" t="s">
        <v>13</v>
      </c>
      <c r="B74" s="233"/>
      <c r="C74" s="287"/>
      <c r="D74" s="166"/>
      <c r="E74" s="363"/>
      <c r="F74" s="279"/>
      <c r="G74" s="279"/>
      <c r="H74" s="166"/>
      <c r="I74" s="363"/>
      <c r="J74" s="288"/>
      <c r="K74" s="288"/>
      <c r="L74" s="166"/>
      <c r="M74" s="23"/>
      <c r="N74" s="148"/>
    </row>
    <row r="75" spans="1:14" s="3" customFormat="1" x14ac:dyDescent="0.2">
      <c r="A75" s="21" t="s">
        <v>356</v>
      </c>
      <c r="B75" s="232"/>
      <c r="C75" s="145"/>
      <c r="D75" s="166"/>
      <c r="E75" s="27"/>
      <c r="F75" s="232"/>
      <c r="G75" s="145"/>
      <c r="H75" s="166"/>
      <c r="I75" s="27"/>
      <c r="J75" s="285"/>
      <c r="K75" s="44"/>
      <c r="L75" s="252"/>
      <c r="M75" s="27"/>
      <c r="N75" s="148"/>
    </row>
    <row r="76" spans="1:14" s="3" customFormat="1" x14ac:dyDescent="0.2">
      <c r="A76" s="21" t="s">
        <v>355</v>
      </c>
      <c r="B76" s="232"/>
      <c r="C76" s="145"/>
      <c r="D76" s="166"/>
      <c r="E76" s="27"/>
      <c r="F76" s="232"/>
      <c r="G76" s="145"/>
      <c r="H76" s="166"/>
      <c r="I76" s="27"/>
      <c r="J76" s="285"/>
      <c r="K76" s="44"/>
      <c r="L76" s="252"/>
      <c r="M76" s="27"/>
      <c r="N76" s="148"/>
    </row>
    <row r="77" spans="1:14" ht="15.75" x14ac:dyDescent="0.2">
      <c r="A77" s="21" t="s">
        <v>388</v>
      </c>
      <c r="B77" s="232">
        <v>46821</v>
      </c>
      <c r="C77" s="232">
        <v>47990</v>
      </c>
      <c r="D77" s="166">
        <f t="shared" si="0"/>
        <v>2.5</v>
      </c>
      <c r="E77" s="27">
        <f>IFERROR(100/'Skjema total MA'!C77*C77,0)</f>
        <v>1.1362308018104492</v>
      </c>
      <c r="F77" s="232">
        <v>210392</v>
      </c>
      <c r="G77" s="145">
        <v>267105</v>
      </c>
      <c r="H77" s="166">
        <f t="shared" si="1"/>
        <v>27</v>
      </c>
      <c r="I77" s="27">
        <f>IFERROR(100/'Skjema total MA'!F77*G77,0)</f>
        <v>1.7223187068908885</v>
      </c>
      <c r="J77" s="285">
        <f t="shared" si="2"/>
        <v>257213</v>
      </c>
      <c r="K77" s="44">
        <f t="shared" si="2"/>
        <v>315095</v>
      </c>
      <c r="L77" s="252">
        <f t="shared" si="3"/>
        <v>22.5</v>
      </c>
      <c r="M77" s="27">
        <f>IFERROR(100/'Skjema total MA'!I77*K77,0)</f>
        <v>1.5968676399944646</v>
      </c>
    </row>
    <row r="78" spans="1:14" x14ac:dyDescent="0.2">
      <c r="A78" s="21" t="s">
        <v>9</v>
      </c>
      <c r="B78" s="232">
        <v>46821</v>
      </c>
      <c r="C78" s="145">
        <v>47990</v>
      </c>
      <c r="D78" s="166">
        <f t="shared" si="0"/>
        <v>2.5</v>
      </c>
      <c r="E78" s="27">
        <f>IFERROR(100/'Skjema total MA'!C78*C78,0)</f>
        <v>1.1670048364334273</v>
      </c>
      <c r="F78" s="232"/>
      <c r="G78" s="145"/>
      <c r="H78" s="166"/>
      <c r="I78" s="27"/>
      <c r="J78" s="285">
        <f t="shared" si="2"/>
        <v>46821</v>
      </c>
      <c r="K78" s="44">
        <f t="shared" si="2"/>
        <v>47990</v>
      </c>
      <c r="L78" s="252">
        <f t="shared" si="3"/>
        <v>2.5</v>
      </c>
      <c r="M78" s="27">
        <f>IFERROR(100/'Skjema total MA'!I78*K78,0)</f>
        <v>1.1670048364334273</v>
      </c>
    </row>
    <row r="79" spans="1:14" x14ac:dyDescent="0.2">
      <c r="A79" s="21" t="s">
        <v>10</v>
      </c>
      <c r="B79" s="290"/>
      <c r="C79" s="291"/>
      <c r="D79" s="166"/>
      <c r="E79" s="27"/>
      <c r="F79" s="290">
        <v>210392</v>
      </c>
      <c r="G79" s="291">
        <v>267105</v>
      </c>
      <c r="H79" s="166">
        <f t="shared" si="1"/>
        <v>27</v>
      </c>
      <c r="I79" s="27">
        <f>IFERROR(100/'Skjema total MA'!F79*G79,0)</f>
        <v>1.7223187068908885</v>
      </c>
      <c r="J79" s="285">
        <f t="shared" si="2"/>
        <v>210392</v>
      </c>
      <c r="K79" s="44">
        <f t="shared" si="2"/>
        <v>267105</v>
      </c>
      <c r="L79" s="252">
        <f t="shared" si="3"/>
        <v>27</v>
      </c>
      <c r="M79" s="27">
        <f>IFERROR(100/'Skjema total MA'!I79*K79,0)</f>
        <v>1.7100377228887618</v>
      </c>
    </row>
    <row r="80" spans="1:14" ht="15.75" x14ac:dyDescent="0.2">
      <c r="A80" s="294" t="s">
        <v>386</v>
      </c>
      <c r="B80" s="279"/>
      <c r="C80" s="279"/>
      <c r="D80" s="166"/>
      <c r="E80" s="363"/>
      <c r="F80" s="279"/>
      <c r="G80" s="279"/>
      <c r="H80" s="166"/>
      <c r="I80" s="363"/>
      <c r="J80" s="288"/>
      <c r="K80" s="288"/>
      <c r="L80" s="166"/>
      <c r="M80" s="23"/>
    </row>
    <row r="81" spans="1:13" x14ac:dyDescent="0.2">
      <c r="A81" s="294" t="s">
        <v>12</v>
      </c>
      <c r="B81" s="233"/>
      <c r="C81" s="287"/>
      <c r="D81" s="166"/>
      <c r="E81" s="363"/>
      <c r="F81" s="279"/>
      <c r="G81" s="279"/>
      <c r="H81" s="166"/>
      <c r="I81" s="363"/>
      <c r="J81" s="288"/>
      <c r="K81" s="288"/>
      <c r="L81" s="166"/>
      <c r="M81" s="23"/>
    </row>
    <row r="82" spans="1:13" x14ac:dyDescent="0.2">
      <c r="A82" s="294" t="s">
        <v>13</v>
      </c>
      <c r="B82" s="233"/>
      <c r="C82" s="287"/>
      <c r="D82" s="166"/>
      <c r="E82" s="363"/>
      <c r="F82" s="279"/>
      <c r="G82" s="279"/>
      <c r="H82" s="166"/>
      <c r="I82" s="363"/>
      <c r="J82" s="288"/>
      <c r="K82" s="288"/>
      <c r="L82" s="166"/>
      <c r="M82" s="23"/>
    </row>
    <row r="83" spans="1:13" ht="15.75" x14ac:dyDescent="0.2">
      <c r="A83" s="294" t="s">
        <v>387</v>
      </c>
      <c r="B83" s="279"/>
      <c r="C83" s="279"/>
      <c r="D83" s="166"/>
      <c r="E83" s="363"/>
      <c r="F83" s="279"/>
      <c r="G83" s="279"/>
      <c r="H83" s="166"/>
      <c r="I83" s="363"/>
      <c r="J83" s="288"/>
      <c r="K83" s="288"/>
      <c r="L83" s="166"/>
      <c r="M83" s="23"/>
    </row>
    <row r="84" spans="1:13" x14ac:dyDescent="0.2">
      <c r="A84" s="294" t="s">
        <v>12</v>
      </c>
      <c r="B84" s="233"/>
      <c r="C84" s="287"/>
      <c r="D84" s="166"/>
      <c r="E84" s="363"/>
      <c r="F84" s="279"/>
      <c r="G84" s="279"/>
      <c r="H84" s="166"/>
      <c r="I84" s="363"/>
      <c r="J84" s="288"/>
      <c r="K84" s="288"/>
      <c r="L84" s="166"/>
      <c r="M84" s="23"/>
    </row>
    <row r="85" spans="1:13" x14ac:dyDescent="0.2">
      <c r="A85" s="294" t="s">
        <v>13</v>
      </c>
      <c r="B85" s="233"/>
      <c r="C85" s="287"/>
      <c r="D85" s="166"/>
      <c r="E85" s="363"/>
      <c r="F85" s="279"/>
      <c r="G85" s="279"/>
      <c r="H85" s="166"/>
      <c r="I85" s="363"/>
      <c r="J85" s="288"/>
      <c r="K85" s="288"/>
      <c r="L85" s="166"/>
      <c r="M85" s="23"/>
    </row>
    <row r="86" spans="1:13" ht="15.75" x14ac:dyDescent="0.2">
      <c r="A86" s="21" t="s">
        <v>389</v>
      </c>
      <c r="B86" s="232"/>
      <c r="C86" s="145"/>
      <c r="D86" s="166"/>
      <c r="E86" s="27"/>
      <c r="F86" s="232"/>
      <c r="G86" s="145"/>
      <c r="H86" s="166"/>
      <c r="I86" s="27"/>
      <c r="J86" s="285"/>
      <c r="K86" s="44"/>
      <c r="L86" s="252"/>
      <c r="M86" s="27"/>
    </row>
    <row r="87" spans="1:13" ht="15.75" x14ac:dyDescent="0.2">
      <c r="A87" s="13" t="s">
        <v>371</v>
      </c>
      <c r="B87" s="350">
        <v>1675895</v>
      </c>
      <c r="C87" s="350">
        <v>1731438</v>
      </c>
      <c r="D87" s="171">
        <f t="shared" si="0"/>
        <v>3.3</v>
      </c>
      <c r="E87" s="11">
        <f>IFERROR(100/'Skjema total MA'!C87*C87,0)</f>
        <v>0.44408861914149356</v>
      </c>
      <c r="F87" s="349">
        <v>3075141</v>
      </c>
      <c r="G87" s="349">
        <v>4242225</v>
      </c>
      <c r="H87" s="171">
        <f t="shared" si="1"/>
        <v>38</v>
      </c>
      <c r="I87" s="11">
        <f>IFERROR(100/'Skjema total MA'!F87*G87,0)</f>
        <v>1.4946130368260704</v>
      </c>
      <c r="J87" s="307">
        <f t="shared" ref="J87:K111" si="4">SUM(B87,F87)</f>
        <v>4751036</v>
      </c>
      <c r="K87" s="234">
        <f t="shared" si="4"/>
        <v>5973663</v>
      </c>
      <c r="L87" s="371">
        <f t="shared" si="3"/>
        <v>25.7</v>
      </c>
      <c r="M87" s="11">
        <f>IFERROR(100/'Skjema total MA'!I87*K87,0)</f>
        <v>0.88666845526766058</v>
      </c>
    </row>
    <row r="88" spans="1:13" x14ac:dyDescent="0.2">
      <c r="A88" s="21" t="s">
        <v>9</v>
      </c>
      <c r="B88" s="232">
        <v>1675895</v>
      </c>
      <c r="C88" s="145">
        <v>1731438</v>
      </c>
      <c r="D88" s="166">
        <f t="shared" si="0"/>
        <v>3.3</v>
      </c>
      <c r="E88" s="27">
        <f>IFERROR(100/'Skjema total MA'!C88*C88,0)</f>
        <v>0.45468832995491204</v>
      </c>
      <c r="F88" s="232"/>
      <c r="G88" s="145"/>
      <c r="H88" s="166"/>
      <c r="I88" s="27"/>
      <c r="J88" s="285">
        <f t="shared" si="4"/>
        <v>1675895</v>
      </c>
      <c r="K88" s="44">
        <f t="shared" si="4"/>
        <v>1731438</v>
      </c>
      <c r="L88" s="252">
        <f t="shared" si="3"/>
        <v>3.3</v>
      </c>
      <c r="M88" s="27">
        <f>IFERROR(100/'Skjema total MA'!I88*K88,0)</f>
        <v>0.45468832995491204</v>
      </c>
    </row>
    <row r="89" spans="1:13" x14ac:dyDescent="0.2">
      <c r="A89" s="21" t="s">
        <v>10</v>
      </c>
      <c r="B89" s="232"/>
      <c r="C89" s="145"/>
      <c r="D89" s="166"/>
      <c r="E89" s="27"/>
      <c r="F89" s="232">
        <v>3075141</v>
      </c>
      <c r="G89" s="145">
        <v>4242225</v>
      </c>
      <c r="H89" s="166">
        <f t="shared" si="1"/>
        <v>38</v>
      </c>
      <c r="I89" s="27">
        <f>IFERROR(100/'Skjema total MA'!F89*G89,0)</f>
        <v>1.5014943045044729</v>
      </c>
      <c r="J89" s="285">
        <f t="shared" si="4"/>
        <v>3075141</v>
      </c>
      <c r="K89" s="44">
        <f t="shared" si="4"/>
        <v>4242225</v>
      </c>
      <c r="L89" s="252">
        <f t="shared" si="3"/>
        <v>38</v>
      </c>
      <c r="M89" s="27">
        <f>IFERROR(100/'Skjema total MA'!I89*K89,0)</f>
        <v>1.4861234155212635</v>
      </c>
    </row>
    <row r="90" spans="1:13" ht="15.75" x14ac:dyDescent="0.2">
      <c r="A90" s="294" t="s">
        <v>386</v>
      </c>
      <c r="B90" s="279"/>
      <c r="C90" s="279"/>
      <c r="D90" s="166"/>
      <c r="E90" s="363"/>
      <c r="F90" s="279"/>
      <c r="G90" s="279"/>
      <c r="H90" s="166"/>
      <c r="I90" s="363"/>
      <c r="J90" s="288"/>
      <c r="K90" s="288"/>
      <c r="L90" s="166"/>
      <c r="M90" s="23"/>
    </row>
    <row r="91" spans="1:13" x14ac:dyDescent="0.2">
      <c r="A91" s="294" t="s">
        <v>12</v>
      </c>
      <c r="B91" s="233"/>
      <c r="C91" s="287"/>
      <c r="D91" s="166"/>
      <c r="E91" s="363"/>
      <c r="F91" s="279"/>
      <c r="G91" s="279"/>
      <c r="H91" s="166"/>
      <c r="I91" s="363"/>
      <c r="J91" s="288"/>
      <c r="K91" s="288"/>
      <c r="L91" s="166"/>
      <c r="M91" s="23"/>
    </row>
    <row r="92" spans="1:13" x14ac:dyDescent="0.2">
      <c r="A92" s="294" t="s">
        <v>13</v>
      </c>
      <c r="B92" s="233"/>
      <c r="C92" s="287"/>
      <c r="D92" s="166"/>
      <c r="E92" s="363"/>
      <c r="F92" s="279"/>
      <c r="G92" s="279"/>
      <c r="H92" s="166"/>
      <c r="I92" s="363"/>
      <c r="J92" s="288"/>
      <c r="K92" s="288"/>
      <c r="L92" s="166"/>
      <c r="M92" s="23"/>
    </row>
    <row r="93" spans="1:13" ht="15.75" x14ac:dyDescent="0.2">
      <c r="A93" s="294" t="s">
        <v>387</v>
      </c>
      <c r="B93" s="279"/>
      <c r="C93" s="279"/>
      <c r="D93" s="166"/>
      <c r="E93" s="363"/>
      <c r="F93" s="279"/>
      <c r="G93" s="279"/>
      <c r="H93" s="166"/>
      <c r="I93" s="363"/>
      <c r="J93" s="288"/>
      <c r="K93" s="288"/>
      <c r="L93" s="166"/>
      <c r="M93" s="23"/>
    </row>
    <row r="94" spans="1:13" x14ac:dyDescent="0.2">
      <c r="A94" s="294" t="s">
        <v>12</v>
      </c>
      <c r="B94" s="233"/>
      <c r="C94" s="287"/>
      <c r="D94" s="166"/>
      <c r="E94" s="363"/>
      <c r="F94" s="279"/>
      <c r="G94" s="279"/>
      <c r="H94" s="166"/>
      <c r="I94" s="363"/>
      <c r="J94" s="288"/>
      <c r="K94" s="288"/>
      <c r="L94" s="166"/>
      <c r="M94" s="23"/>
    </row>
    <row r="95" spans="1:13" x14ac:dyDescent="0.2">
      <c r="A95" s="294" t="s">
        <v>13</v>
      </c>
      <c r="B95" s="233"/>
      <c r="C95" s="287"/>
      <c r="D95" s="166"/>
      <c r="E95" s="363"/>
      <c r="F95" s="279"/>
      <c r="G95" s="279"/>
      <c r="H95" s="166"/>
      <c r="I95" s="363"/>
      <c r="J95" s="288"/>
      <c r="K95" s="288"/>
      <c r="L95" s="166"/>
      <c r="M95" s="23"/>
    </row>
    <row r="96" spans="1:13" x14ac:dyDescent="0.2">
      <c r="A96" s="21" t="s">
        <v>354</v>
      </c>
      <c r="B96" s="232"/>
      <c r="C96" s="145"/>
      <c r="D96" s="166"/>
      <c r="E96" s="27"/>
      <c r="F96" s="232"/>
      <c r="G96" s="145"/>
      <c r="H96" s="166"/>
      <c r="I96" s="27"/>
      <c r="J96" s="285"/>
      <c r="K96" s="44"/>
      <c r="L96" s="252"/>
      <c r="M96" s="27"/>
    </row>
    <row r="97" spans="1:13" x14ac:dyDescent="0.2">
      <c r="A97" s="21" t="s">
        <v>353</v>
      </c>
      <c r="B97" s="232"/>
      <c r="C97" s="145"/>
      <c r="D97" s="166"/>
      <c r="E97" s="27"/>
      <c r="F97" s="232"/>
      <c r="G97" s="145"/>
      <c r="H97" s="166"/>
      <c r="I97" s="27"/>
      <c r="J97" s="285"/>
      <c r="K97" s="44"/>
      <c r="L97" s="252"/>
      <c r="M97" s="27"/>
    </row>
    <row r="98" spans="1:13" ht="15.75" x14ac:dyDescent="0.2">
      <c r="A98" s="21" t="s">
        <v>388</v>
      </c>
      <c r="B98" s="232">
        <v>1675895</v>
      </c>
      <c r="C98" s="232">
        <v>1731438</v>
      </c>
      <c r="D98" s="166">
        <f t="shared" si="0"/>
        <v>3.3</v>
      </c>
      <c r="E98" s="27">
        <f>IFERROR(100/'Skjema total MA'!C98*C98,0)</f>
        <v>0.45687333339084651</v>
      </c>
      <c r="F98" s="290">
        <v>3075141</v>
      </c>
      <c r="G98" s="290">
        <v>4242225</v>
      </c>
      <c r="H98" s="166">
        <f t="shared" si="1"/>
        <v>38</v>
      </c>
      <c r="I98" s="27">
        <f>IFERROR(100/'Skjema total MA'!F98*G98,0)</f>
        <v>1.5056627006302077</v>
      </c>
      <c r="J98" s="285">
        <f t="shared" si="4"/>
        <v>4751036</v>
      </c>
      <c r="K98" s="44">
        <f t="shared" si="4"/>
        <v>5973663</v>
      </c>
      <c r="L98" s="252">
        <f t="shared" si="3"/>
        <v>25.7</v>
      </c>
      <c r="M98" s="27">
        <f>IFERROR(100/'Skjema total MA'!I98*K98,0)</f>
        <v>0.90410477347097973</v>
      </c>
    </row>
    <row r="99" spans="1:13" x14ac:dyDescent="0.2">
      <c r="A99" s="21" t="s">
        <v>9</v>
      </c>
      <c r="B99" s="290">
        <v>1675895</v>
      </c>
      <c r="C99" s="291">
        <v>1731438</v>
      </c>
      <c r="D99" s="166">
        <f t="shared" si="0"/>
        <v>3.3</v>
      </c>
      <c r="E99" s="27">
        <f>IFERROR(100/'Skjema total MA'!C99*C99,0)</f>
        <v>0.46042359664141941</v>
      </c>
      <c r="F99" s="232"/>
      <c r="G99" s="145"/>
      <c r="H99" s="166"/>
      <c r="I99" s="27"/>
      <c r="J99" s="285">
        <f t="shared" si="4"/>
        <v>1675895</v>
      </c>
      <c r="K99" s="44">
        <f t="shared" si="4"/>
        <v>1731438</v>
      </c>
      <c r="L99" s="252">
        <f t="shared" si="3"/>
        <v>3.3</v>
      </c>
      <c r="M99" s="27">
        <f>IFERROR(100/'Skjema total MA'!I99*K99,0)</f>
        <v>0.46042359664141941</v>
      </c>
    </row>
    <row r="100" spans="1:13" x14ac:dyDescent="0.2">
      <c r="A100" s="21" t="s">
        <v>10</v>
      </c>
      <c r="B100" s="290"/>
      <c r="C100" s="291"/>
      <c r="D100" s="166"/>
      <c r="E100" s="27"/>
      <c r="F100" s="232">
        <v>3075141</v>
      </c>
      <c r="G100" s="232">
        <v>4242225</v>
      </c>
      <c r="H100" s="166">
        <f t="shared" si="1"/>
        <v>38</v>
      </c>
      <c r="I100" s="27">
        <f>IFERROR(100/'Skjema total MA'!F100*G100,0)</f>
        <v>1.5056627006302077</v>
      </c>
      <c r="J100" s="285">
        <f t="shared" si="4"/>
        <v>3075141</v>
      </c>
      <c r="K100" s="44">
        <f t="shared" si="4"/>
        <v>4242225</v>
      </c>
      <c r="L100" s="252">
        <f t="shared" si="3"/>
        <v>38</v>
      </c>
      <c r="M100" s="27">
        <f>IFERROR(100/'Skjema total MA'!I100*K100,0)</f>
        <v>1.4902067881837244</v>
      </c>
    </row>
    <row r="101" spans="1:13" ht="15.75" x14ac:dyDescent="0.2">
      <c r="A101" s="294" t="s">
        <v>386</v>
      </c>
      <c r="B101" s="279"/>
      <c r="C101" s="279"/>
      <c r="D101" s="166"/>
      <c r="E101" s="363"/>
      <c r="F101" s="279"/>
      <c r="G101" s="279"/>
      <c r="H101" s="166"/>
      <c r="I101" s="363"/>
      <c r="J101" s="288"/>
      <c r="K101" s="288"/>
      <c r="L101" s="166"/>
      <c r="M101" s="23"/>
    </row>
    <row r="102" spans="1:13" x14ac:dyDescent="0.2">
      <c r="A102" s="294" t="s">
        <v>12</v>
      </c>
      <c r="B102" s="233"/>
      <c r="C102" s="287"/>
      <c r="D102" s="166"/>
      <c r="E102" s="363"/>
      <c r="F102" s="279"/>
      <c r="G102" s="279"/>
      <c r="H102" s="166"/>
      <c r="I102" s="363"/>
      <c r="J102" s="288"/>
      <c r="K102" s="288"/>
      <c r="L102" s="166"/>
      <c r="M102" s="23"/>
    </row>
    <row r="103" spans="1:13" x14ac:dyDescent="0.2">
      <c r="A103" s="294" t="s">
        <v>13</v>
      </c>
      <c r="B103" s="233"/>
      <c r="C103" s="287"/>
      <c r="D103" s="166"/>
      <c r="E103" s="363"/>
      <c r="F103" s="279"/>
      <c r="G103" s="279"/>
      <c r="H103" s="166"/>
      <c r="I103" s="363"/>
      <c r="J103" s="288"/>
      <c r="K103" s="288"/>
      <c r="L103" s="166"/>
      <c r="M103" s="23"/>
    </row>
    <row r="104" spans="1:13" ht="15.75" x14ac:dyDescent="0.2">
      <c r="A104" s="294" t="s">
        <v>387</v>
      </c>
      <c r="B104" s="279"/>
      <c r="C104" s="279"/>
      <c r="D104" s="166"/>
      <c r="E104" s="363"/>
      <c r="F104" s="279"/>
      <c r="G104" s="279"/>
      <c r="H104" s="166"/>
      <c r="I104" s="363"/>
      <c r="J104" s="288"/>
      <c r="K104" s="288"/>
      <c r="L104" s="166"/>
      <c r="M104" s="23"/>
    </row>
    <row r="105" spans="1:13" x14ac:dyDescent="0.2">
      <c r="A105" s="294" t="s">
        <v>12</v>
      </c>
      <c r="B105" s="233"/>
      <c r="C105" s="287"/>
      <c r="D105" s="166"/>
      <c r="E105" s="363"/>
      <c r="F105" s="279"/>
      <c r="G105" s="279"/>
      <c r="H105" s="166"/>
      <c r="I105" s="363"/>
      <c r="J105" s="288"/>
      <c r="K105" s="288"/>
      <c r="L105" s="166"/>
      <c r="M105" s="23"/>
    </row>
    <row r="106" spans="1:13" x14ac:dyDescent="0.2">
      <c r="A106" s="294" t="s">
        <v>13</v>
      </c>
      <c r="B106" s="233"/>
      <c r="C106" s="287"/>
      <c r="D106" s="166"/>
      <c r="E106" s="363"/>
      <c r="F106" s="279"/>
      <c r="G106" s="279"/>
      <c r="H106" s="166"/>
      <c r="I106" s="363"/>
      <c r="J106" s="288"/>
      <c r="K106" s="288"/>
      <c r="L106" s="166"/>
      <c r="M106" s="23"/>
    </row>
    <row r="107" spans="1:13" ht="15.75" x14ac:dyDescent="0.2">
      <c r="A107" s="21" t="s">
        <v>389</v>
      </c>
      <c r="B107" s="232"/>
      <c r="C107" s="145"/>
      <c r="D107" s="166"/>
      <c r="E107" s="27"/>
      <c r="F107" s="232"/>
      <c r="G107" s="145"/>
      <c r="H107" s="166"/>
      <c r="I107" s="27"/>
      <c r="J107" s="285"/>
      <c r="K107" s="44"/>
      <c r="L107" s="252"/>
      <c r="M107" s="27"/>
    </row>
    <row r="108" spans="1:13" ht="15.75" x14ac:dyDescent="0.2">
      <c r="A108" s="21" t="s">
        <v>390</v>
      </c>
      <c r="B108" s="232">
        <v>1000649</v>
      </c>
      <c r="C108" s="232">
        <v>1020073</v>
      </c>
      <c r="D108" s="166">
        <f t="shared" si="0"/>
        <v>1.9</v>
      </c>
      <c r="E108" s="27">
        <f>IFERROR(100/'Skjema total MA'!C108*C108,0)</f>
        <v>0.32335538886385173</v>
      </c>
      <c r="F108" s="232"/>
      <c r="G108" s="232"/>
      <c r="H108" s="166"/>
      <c r="I108" s="27"/>
      <c r="J108" s="285">
        <f t="shared" si="4"/>
        <v>1000649</v>
      </c>
      <c r="K108" s="44">
        <f t="shared" si="4"/>
        <v>1020073</v>
      </c>
      <c r="L108" s="252">
        <f t="shared" si="3"/>
        <v>1.9</v>
      </c>
      <c r="M108" s="27">
        <f>IFERROR(100/'Skjema total MA'!I108*K108,0)</f>
        <v>0.30751835427514324</v>
      </c>
    </row>
    <row r="109" spans="1:13" ht="15.75" x14ac:dyDescent="0.2">
      <c r="A109" s="21" t="s">
        <v>391</v>
      </c>
      <c r="B109" s="232"/>
      <c r="C109" s="232"/>
      <c r="D109" s="166"/>
      <c r="E109" s="27"/>
      <c r="F109" s="232">
        <v>1306241</v>
      </c>
      <c r="G109" s="232">
        <v>1818383</v>
      </c>
      <c r="H109" s="166">
        <f t="shared" si="1"/>
        <v>39.200000000000003</v>
      </c>
      <c r="I109" s="27">
        <f>IFERROR(100/'Skjema total MA'!F109*G109,0)</f>
        <v>1.9011777203516211</v>
      </c>
      <c r="J109" s="285">
        <f t="shared" si="4"/>
        <v>1306241</v>
      </c>
      <c r="K109" s="44">
        <f t="shared" si="4"/>
        <v>1818383</v>
      </c>
      <c r="L109" s="252">
        <f t="shared" si="3"/>
        <v>39.200000000000003</v>
      </c>
      <c r="M109" s="27">
        <f>IFERROR(100/'Skjema total MA'!I109*K109,0)</f>
        <v>1.881383834562407</v>
      </c>
    </row>
    <row r="110" spans="1:13" ht="15.75" x14ac:dyDescent="0.2">
      <c r="A110" s="21" t="s">
        <v>392</v>
      </c>
      <c r="B110" s="232"/>
      <c r="C110" s="232"/>
      <c r="D110" s="166"/>
      <c r="E110" s="27"/>
      <c r="F110" s="232"/>
      <c r="G110" s="232"/>
      <c r="H110" s="166"/>
      <c r="I110" s="27"/>
      <c r="J110" s="285"/>
      <c r="K110" s="44"/>
      <c r="L110" s="252"/>
      <c r="M110" s="27"/>
    </row>
    <row r="111" spans="1:13" ht="15.75" x14ac:dyDescent="0.2">
      <c r="A111" s="13" t="s">
        <v>372</v>
      </c>
      <c r="B111" s="306">
        <v>1550</v>
      </c>
      <c r="C111" s="159">
        <v>1805</v>
      </c>
      <c r="D111" s="171">
        <f t="shared" si="0"/>
        <v>16.5</v>
      </c>
      <c r="E111" s="11">
        <f>IFERROR(100/'Skjema total MA'!C111*C111,0)</f>
        <v>0.68484881696147193</v>
      </c>
      <c r="F111" s="306">
        <v>215649</v>
      </c>
      <c r="G111" s="159">
        <v>307816</v>
      </c>
      <c r="H111" s="171">
        <f t="shared" si="1"/>
        <v>42.7</v>
      </c>
      <c r="I111" s="11">
        <f>IFERROR(100/'Skjema total MA'!F111*G111,0)</f>
        <v>3.772328505739178</v>
      </c>
      <c r="J111" s="307">
        <f t="shared" si="4"/>
        <v>217199</v>
      </c>
      <c r="K111" s="234">
        <f t="shared" si="4"/>
        <v>309621</v>
      </c>
      <c r="L111" s="371">
        <f t="shared" si="3"/>
        <v>42.6</v>
      </c>
      <c r="M111" s="11">
        <f>IFERROR(100/'Skjema total MA'!I111*K111,0)</f>
        <v>3.6757236298581923</v>
      </c>
    </row>
    <row r="112" spans="1:13" x14ac:dyDescent="0.2">
      <c r="A112" s="21" t="s">
        <v>9</v>
      </c>
      <c r="B112" s="232">
        <v>1550</v>
      </c>
      <c r="C112" s="145">
        <v>1805</v>
      </c>
      <c r="D112" s="166">
        <f t="shared" ref="D112:D120" si="5">IF(B112=0, "    ---- ", IF(ABS(ROUND(100/B112*C112-100,1))&lt;999,ROUND(100/B112*C112-100,1),IF(ROUND(100/B112*C112-100,1)&gt;999,999,-999)))</f>
        <v>16.5</v>
      </c>
      <c r="E112" s="27">
        <f>IFERROR(100/'Skjema total MA'!C112*C112,0)</f>
        <v>0.85647943404353755</v>
      </c>
      <c r="F112" s="232"/>
      <c r="G112" s="145"/>
      <c r="H112" s="166"/>
      <c r="I112" s="27"/>
      <c r="J112" s="285">
        <f t="shared" ref="J112:K125" si="6">SUM(B112,F112)</f>
        <v>1550</v>
      </c>
      <c r="K112" s="44">
        <f t="shared" si="6"/>
        <v>1805</v>
      </c>
      <c r="L112" s="252">
        <f t="shared" ref="L112:L125" si="7">IF(J112=0, "    ---- ", IF(ABS(ROUND(100/J112*K112-100,1))&lt;999,ROUND(100/J112*K112-100,1),IF(ROUND(100/J112*K112-100,1)&gt;999,999,-999)))</f>
        <v>16.5</v>
      </c>
      <c r="M112" s="27">
        <f>IFERROR(100/'Skjema total MA'!I112*K112,0)</f>
        <v>0.83559066361107559</v>
      </c>
    </row>
    <row r="113" spans="1:14" x14ac:dyDescent="0.2">
      <c r="A113" s="21" t="s">
        <v>10</v>
      </c>
      <c r="B113" s="232"/>
      <c r="C113" s="145"/>
      <c r="D113" s="166"/>
      <c r="E113" s="27"/>
      <c r="F113" s="232">
        <v>215649</v>
      </c>
      <c r="G113" s="145">
        <v>307816</v>
      </c>
      <c r="H113" s="166">
        <f t="shared" ref="H113:H125" si="8">IF(F113=0, "    ---- ", IF(ABS(ROUND(100/F113*G113-100,1))&lt;999,ROUND(100/F113*G113-100,1),IF(ROUND(100/F113*G113-100,1)&gt;999,999,-999)))</f>
        <v>42.7</v>
      </c>
      <c r="I113" s="27">
        <f>IFERROR(100/'Skjema total MA'!F113*G113,0)</f>
        <v>3.7873169510534845</v>
      </c>
      <c r="J113" s="285">
        <f t="shared" si="6"/>
        <v>215649</v>
      </c>
      <c r="K113" s="44">
        <f t="shared" si="6"/>
        <v>307816</v>
      </c>
      <c r="L113" s="252">
        <f t="shared" si="7"/>
        <v>42.7</v>
      </c>
      <c r="M113" s="27">
        <f>IFERROR(100/'Skjema total MA'!I113*K113,0)</f>
        <v>3.7868535443216658</v>
      </c>
    </row>
    <row r="114" spans="1:14" x14ac:dyDescent="0.2">
      <c r="A114" s="21" t="s">
        <v>26</v>
      </c>
      <c r="B114" s="232"/>
      <c r="C114" s="145"/>
      <c r="D114" s="166"/>
      <c r="E114" s="27"/>
      <c r="F114" s="232"/>
      <c r="G114" s="145"/>
      <c r="H114" s="166"/>
      <c r="I114" s="27"/>
      <c r="J114" s="285"/>
      <c r="K114" s="44"/>
      <c r="L114" s="252"/>
      <c r="M114" s="27"/>
    </row>
    <row r="115" spans="1:14" x14ac:dyDescent="0.2">
      <c r="A115" s="294" t="s">
        <v>15</v>
      </c>
      <c r="B115" s="279"/>
      <c r="C115" s="279"/>
      <c r="D115" s="166"/>
      <c r="E115" s="363"/>
      <c r="F115" s="279"/>
      <c r="G115" s="279"/>
      <c r="H115" s="166"/>
      <c r="I115" s="363"/>
      <c r="J115" s="288"/>
      <c r="K115" s="288"/>
      <c r="L115" s="166"/>
      <c r="M115" s="23"/>
    </row>
    <row r="116" spans="1:14" ht="15.75" x14ac:dyDescent="0.2">
      <c r="A116" s="21" t="s">
        <v>393</v>
      </c>
      <c r="B116" s="232"/>
      <c r="C116" s="232"/>
      <c r="D116" s="166"/>
      <c r="E116" s="27"/>
      <c r="F116" s="232"/>
      <c r="G116" s="232"/>
      <c r="H116" s="166"/>
      <c r="I116" s="27"/>
      <c r="J116" s="285"/>
      <c r="K116" s="44"/>
      <c r="L116" s="252"/>
      <c r="M116" s="27"/>
    </row>
    <row r="117" spans="1:14" ht="15.75" x14ac:dyDescent="0.2">
      <c r="A117" s="21" t="s">
        <v>394</v>
      </c>
      <c r="B117" s="232"/>
      <c r="C117" s="232"/>
      <c r="D117" s="166"/>
      <c r="E117" s="27"/>
      <c r="F117" s="232">
        <v>153151</v>
      </c>
      <c r="G117" s="232">
        <v>201986</v>
      </c>
      <c r="H117" s="166">
        <f t="shared" si="8"/>
        <v>31.9</v>
      </c>
      <c r="I117" s="27">
        <f>IFERROR(100/'Skjema total MA'!F117*G117,0)</f>
        <v>12.494283148534898</v>
      </c>
      <c r="J117" s="285">
        <f t="shared" si="6"/>
        <v>153151</v>
      </c>
      <c r="K117" s="44">
        <f t="shared" si="6"/>
        <v>201986</v>
      </c>
      <c r="L117" s="252">
        <f t="shared" si="7"/>
        <v>31.9</v>
      </c>
      <c r="M117" s="27">
        <f>IFERROR(100/'Skjema total MA'!I117*K117,0)</f>
        <v>12.494283148534898</v>
      </c>
    </row>
    <row r="118" spans="1:14" ht="15.75" x14ac:dyDescent="0.2">
      <c r="A118" s="21" t="s">
        <v>392</v>
      </c>
      <c r="B118" s="232"/>
      <c r="C118" s="232"/>
      <c r="D118" s="166"/>
      <c r="E118" s="27"/>
      <c r="F118" s="232"/>
      <c r="G118" s="232"/>
      <c r="H118" s="166"/>
      <c r="I118" s="27"/>
      <c r="J118" s="285"/>
      <c r="K118" s="44"/>
      <c r="L118" s="252"/>
      <c r="M118" s="27"/>
    </row>
    <row r="119" spans="1:14" ht="15.75" x14ac:dyDescent="0.2">
      <c r="A119" s="13" t="s">
        <v>373</v>
      </c>
      <c r="B119" s="306">
        <v>1059</v>
      </c>
      <c r="C119" s="159">
        <v>927</v>
      </c>
      <c r="D119" s="171">
        <f t="shared" si="5"/>
        <v>-12.5</v>
      </c>
      <c r="E119" s="11">
        <f>IFERROR(100/'Skjema total MA'!C119*C119,0)</f>
        <v>0.33115558935175732</v>
      </c>
      <c r="F119" s="306">
        <v>55081</v>
      </c>
      <c r="G119" s="159">
        <v>43821</v>
      </c>
      <c r="H119" s="171">
        <f t="shared" si="8"/>
        <v>-20.399999999999999</v>
      </c>
      <c r="I119" s="11">
        <f>IFERROR(100/'Skjema total MA'!F119*G119,0)</f>
        <v>0.54113225667246001</v>
      </c>
      <c r="J119" s="307">
        <f t="shared" si="6"/>
        <v>56140</v>
      </c>
      <c r="K119" s="234">
        <f t="shared" si="6"/>
        <v>44748</v>
      </c>
      <c r="L119" s="371">
        <f t="shared" si="7"/>
        <v>-20.3</v>
      </c>
      <c r="M119" s="11">
        <f>IFERROR(100/'Skjema total MA'!I119*K119,0)</f>
        <v>0.53411639587767556</v>
      </c>
    </row>
    <row r="120" spans="1:14" x14ac:dyDescent="0.2">
      <c r="A120" s="21" t="s">
        <v>9</v>
      </c>
      <c r="B120" s="232">
        <v>1059</v>
      </c>
      <c r="C120" s="145">
        <v>927</v>
      </c>
      <c r="D120" s="166">
        <f t="shared" si="5"/>
        <v>-12.5</v>
      </c>
      <c r="E120" s="27">
        <f>IFERROR(100/'Skjema total MA'!C120*C120,0)</f>
        <v>0.62641959091972166</v>
      </c>
      <c r="F120" s="232"/>
      <c r="G120" s="145"/>
      <c r="H120" s="166"/>
      <c r="I120" s="27"/>
      <c r="J120" s="285">
        <f t="shared" si="6"/>
        <v>1059</v>
      </c>
      <c r="K120" s="44">
        <f t="shared" si="6"/>
        <v>927</v>
      </c>
      <c r="L120" s="252">
        <f t="shared" si="7"/>
        <v>-12.5</v>
      </c>
      <c r="M120" s="27">
        <f>IFERROR(100/'Skjema total MA'!I120*K120,0)</f>
        <v>0.62641959091972166</v>
      </c>
    </row>
    <row r="121" spans="1:14" x14ac:dyDescent="0.2">
      <c r="A121" s="21" t="s">
        <v>10</v>
      </c>
      <c r="B121" s="232"/>
      <c r="C121" s="145"/>
      <c r="D121" s="166"/>
      <c r="E121" s="27"/>
      <c r="F121" s="232">
        <v>55081</v>
      </c>
      <c r="G121" s="145">
        <v>43821</v>
      </c>
      <c r="H121" s="166">
        <f t="shared" si="8"/>
        <v>-20.399999999999999</v>
      </c>
      <c r="I121" s="27">
        <f>IFERROR(100/'Skjema total MA'!F121*G121,0)</f>
        <v>0.54113225667246001</v>
      </c>
      <c r="J121" s="285">
        <f t="shared" si="6"/>
        <v>55081</v>
      </c>
      <c r="K121" s="44">
        <f t="shared" si="6"/>
        <v>43821</v>
      </c>
      <c r="L121" s="252">
        <f t="shared" si="7"/>
        <v>-20.399999999999999</v>
      </c>
      <c r="M121" s="27">
        <f>IFERROR(100/'Skjema total MA'!I121*K121,0)</f>
        <v>0.53969964630428902</v>
      </c>
    </row>
    <row r="122" spans="1:14" x14ac:dyDescent="0.2">
      <c r="A122" s="21" t="s">
        <v>26</v>
      </c>
      <c r="B122" s="232"/>
      <c r="C122" s="145"/>
      <c r="D122" s="166"/>
      <c r="E122" s="27"/>
      <c r="F122" s="232"/>
      <c r="G122" s="145"/>
      <c r="H122" s="166"/>
      <c r="I122" s="27"/>
      <c r="J122" s="285"/>
      <c r="K122" s="44"/>
      <c r="L122" s="252"/>
      <c r="M122" s="27"/>
    </row>
    <row r="123" spans="1:14" x14ac:dyDescent="0.2">
      <c r="A123" s="294" t="s">
        <v>14</v>
      </c>
      <c r="B123" s="279"/>
      <c r="C123" s="279"/>
      <c r="D123" s="166"/>
      <c r="E123" s="363"/>
      <c r="F123" s="279"/>
      <c r="G123" s="279"/>
      <c r="H123" s="166"/>
      <c r="I123" s="363"/>
      <c r="J123" s="288"/>
      <c r="K123" s="288"/>
      <c r="L123" s="166"/>
      <c r="M123" s="23"/>
    </row>
    <row r="124" spans="1:14" ht="15.75" x14ac:dyDescent="0.2">
      <c r="A124" s="21" t="s">
        <v>399</v>
      </c>
      <c r="B124" s="232"/>
      <c r="C124" s="232"/>
      <c r="D124" s="166"/>
      <c r="E124" s="27"/>
      <c r="F124" s="232"/>
      <c r="G124" s="232"/>
      <c r="H124" s="166"/>
      <c r="I124" s="27"/>
      <c r="J124" s="285"/>
      <c r="K124" s="44"/>
      <c r="L124" s="252"/>
      <c r="M124" s="27"/>
    </row>
    <row r="125" spans="1:14" ht="15.75" x14ac:dyDescent="0.2">
      <c r="A125" s="21" t="s">
        <v>391</v>
      </c>
      <c r="B125" s="232"/>
      <c r="C125" s="232"/>
      <c r="D125" s="166"/>
      <c r="E125" s="27"/>
      <c r="F125" s="232">
        <v>16571</v>
      </c>
      <c r="G125" s="232">
        <v>20505</v>
      </c>
      <c r="H125" s="166">
        <f t="shared" si="8"/>
        <v>23.7</v>
      </c>
      <c r="I125" s="27">
        <f>IFERROR(100/'Skjema total MA'!F125*G125,0)</f>
        <v>1.2136751567686646</v>
      </c>
      <c r="J125" s="285">
        <f t="shared" si="6"/>
        <v>16571</v>
      </c>
      <c r="K125" s="44">
        <f t="shared" si="6"/>
        <v>20505</v>
      </c>
      <c r="L125" s="252">
        <f t="shared" si="7"/>
        <v>23.7</v>
      </c>
      <c r="M125" s="27">
        <f>IFERROR(100/'Skjema total MA'!I125*K125,0)</f>
        <v>1.212043160220821</v>
      </c>
    </row>
    <row r="126" spans="1:14" ht="15.75" x14ac:dyDescent="0.2">
      <c r="A126" s="10" t="s">
        <v>392</v>
      </c>
      <c r="B126" s="45"/>
      <c r="C126" s="45"/>
      <c r="D126" s="167"/>
      <c r="E126" s="364"/>
      <c r="F126" s="45"/>
      <c r="G126" s="45"/>
      <c r="H126" s="167"/>
      <c r="I126" s="22"/>
      <c r="J126" s="286"/>
      <c r="K126" s="45"/>
      <c r="L126" s="253"/>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95"/>
      <c r="C130" s="695"/>
      <c r="D130" s="695"/>
      <c r="E130" s="297"/>
      <c r="F130" s="695"/>
      <c r="G130" s="695"/>
      <c r="H130" s="695"/>
      <c r="I130" s="297"/>
      <c r="J130" s="695"/>
      <c r="K130" s="695"/>
      <c r="L130" s="695"/>
      <c r="M130" s="297"/>
    </row>
    <row r="131" spans="1:14" s="3" customFormat="1" x14ac:dyDescent="0.2">
      <c r="A131" s="144"/>
      <c r="B131" s="696" t="s">
        <v>0</v>
      </c>
      <c r="C131" s="697"/>
      <c r="D131" s="697"/>
      <c r="E131" s="299"/>
      <c r="F131" s="696" t="s">
        <v>1</v>
      </c>
      <c r="G131" s="697"/>
      <c r="H131" s="697"/>
      <c r="I131" s="302"/>
      <c r="J131" s="696" t="s">
        <v>2</v>
      </c>
      <c r="K131" s="697"/>
      <c r="L131" s="697"/>
      <c r="M131" s="302"/>
      <c r="N131" s="148"/>
    </row>
    <row r="132" spans="1:14" s="3" customFormat="1" x14ac:dyDescent="0.2">
      <c r="A132" s="140"/>
      <c r="B132" s="152" t="s">
        <v>422</v>
      </c>
      <c r="C132" s="152" t="s">
        <v>423</v>
      </c>
      <c r="D132" s="243" t="s">
        <v>3</v>
      </c>
      <c r="E132" s="303" t="s">
        <v>29</v>
      </c>
      <c r="F132" s="152" t="s">
        <v>422</v>
      </c>
      <c r="G132" s="152" t="s">
        <v>423</v>
      </c>
      <c r="H132" s="205" t="s">
        <v>3</v>
      </c>
      <c r="I132" s="162" t="s">
        <v>29</v>
      </c>
      <c r="J132" s="152" t="s">
        <v>422</v>
      </c>
      <c r="K132" s="152" t="s">
        <v>423</v>
      </c>
      <c r="L132" s="244" t="s">
        <v>3</v>
      </c>
      <c r="M132" s="162" t="s">
        <v>29</v>
      </c>
      <c r="N132" s="148"/>
    </row>
    <row r="133" spans="1:14" s="3" customFormat="1" x14ac:dyDescent="0.2">
      <c r="A133" s="666"/>
      <c r="B133" s="156"/>
      <c r="C133" s="156"/>
      <c r="D133" s="244" t="s">
        <v>4</v>
      </c>
      <c r="E133" s="156" t="s">
        <v>30</v>
      </c>
      <c r="F133" s="161"/>
      <c r="G133" s="161"/>
      <c r="H133" s="205" t="s">
        <v>4</v>
      </c>
      <c r="I133" s="156" t="s">
        <v>30</v>
      </c>
      <c r="J133" s="156"/>
      <c r="K133" s="156"/>
      <c r="L133" s="150" t="s">
        <v>4</v>
      </c>
      <c r="M133" s="156" t="s">
        <v>30</v>
      </c>
      <c r="N133" s="148"/>
    </row>
    <row r="134" spans="1:14" s="3" customFormat="1" ht="15.75" x14ac:dyDescent="0.2">
      <c r="A134" s="14" t="s">
        <v>395</v>
      </c>
      <c r="B134" s="234"/>
      <c r="C134" s="307"/>
      <c r="D134" s="347"/>
      <c r="E134" s="11"/>
      <c r="F134" s="314"/>
      <c r="G134" s="315"/>
      <c r="H134" s="374"/>
      <c r="I134" s="24"/>
      <c r="J134" s="316"/>
      <c r="K134" s="316"/>
      <c r="L134" s="370"/>
      <c r="M134" s="11"/>
      <c r="N134" s="148"/>
    </row>
    <row r="135" spans="1:14" s="3" customFormat="1" ht="15.75" x14ac:dyDescent="0.2">
      <c r="A135" s="13" t="s">
        <v>400</v>
      </c>
      <c r="B135" s="234"/>
      <c r="C135" s="307"/>
      <c r="D135" s="171"/>
      <c r="E135" s="11"/>
      <c r="F135" s="234"/>
      <c r="G135" s="307"/>
      <c r="H135" s="375"/>
      <c r="I135" s="24"/>
      <c r="J135" s="306"/>
      <c r="K135" s="306"/>
      <c r="L135" s="371"/>
      <c r="M135" s="11"/>
      <c r="N135" s="148"/>
    </row>
    <row r="136" spans="1:14" s="3" customFormat="1" ht="15.75" x14ac:dyDescent="0.2">
      <c r="A136" s="13" t="s">
        <v>397</v>
      </c>
      <c r="B136" s="234"/>
      <c r="C136" s="307"/>
      <c r="D136" s="171"/>
      <c r="E136" s="11"/>
      <c r="F136" s="234"/>
      <c r="G136" s="307"/>
      <c r="H136" s="375"/>
      <c r="I136" s="24"/>
      <c r="J136" s="306"/>
      <c r="K136" s="306"/>
      <c r="L136" s="371"/>
      <c r="M136" s="11"/>
      <c r="N136" s="148"/>
    </row>
    <row r="137" spans="1:14" s="3" customFormat="1" ht="15.75" x14ac:dyDescent="0.2">
      <c r="A137" s="41" t="s">
        <v>398</v>
      </c>
      <c r="B137" s="274"/>
      <c r="C137" s="313"/>
      <c r="D137" s="169"/>
      <c r="E137" s="9"/>
      <c r="F137" s="274"/>
      <c r="G137" s="313"/>
      <c r="H137" s="376"/>
      <c r="I137" s="36"/>
      <c r="J137" s="312"/>
      <c r="K137" s="312"/>
      <c r="L137" s="372"/>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927" priority="132">
      <formula>kvartal &lt; 4</formula>
    </cfRule>
  </conditionalFormatting>
  <conditionalFormatting sqref="B69">
    <cfRule type="expression" dxfId="926" priority="100">
      <formula>kvartal &lt; 4</formula>
    </cfRule>
  </conditionalFormatting>
  <conditionalFormatting sqref="C69">
    <cfRule type="expression" dxfId="925" priority="99">
      <formula>kvartal &lt; 4</formula>
    </cfRule>
  </conditionalFormatting>
  <conditionalFormatting sqref="B72">
    <cfRule type="expression" dxfId="924" priority="98">
      <formula>kvartal &lt; 4</formula>
    </cfRule>
  </conditionalFormatting>
  <conditionalFormatting sqref="C72">
    <cfRule type="expression" dxfId="923" priority="97">
      <formula>kvartal &lt; 4</formula>
    </cfRule>
  </conditionalFormatting>
  <conditionalFormatting sqref="B80">
    <cfRule type="expression" dxfId="922" priority="96">
      <formula>kvartal &lt; 4</formula>
    </cfRule>
  </conditionalFormatting>
  <conditionalFormatting sqref="C80">
    <cfRule type="expression" dxfId="921" priority="95">
      <formula>kvartal &lt; 4</formula>
    </cfRule>
  </conditionalFormatting>
  <conditionalFormatting sqref="B83">
    <cfRule type="expression" dxfId="920" priority="94">
      <formula>kvartal &lt; 4</formula>
    </cfRule>
  </conditionalFormatting>
  <conditionalFormatting sqref="C83">
    <cfRule type="expression" dxfId="919" priority="93">
      <formula>kvartal &lt; 4</formula>
    </cfRule>
  </conditionalFormatting>
  <conditionalFormatting sqref="B90">
    <cfRule type="expression" dxfId="918" priority="84">
      <formula>kvartal &lt; 4</formula>
    </cfRule>
  </conditionalFormatting>
  <conditionalFormatting sqref="C90">
    <cfRule type="expression" dxfId="917" priority="83">
      <formula>kvartal &lt; 4</formula>
    </cfRule>
  </conditionalFormatting>
  <conditionalFormatting sqref="B93">
    <cfRule type="expression" dxfId="916" priority="82">
      <formula>kvartal &lt; 4</formula>
    </cfRule>
  </conditionalFormatting>
  <conditionalFormatting sqref="C93">
    <cfRule type="expression" dxfId="915" priority="81">
      <formula>kvartal &lt; 4</formula>
    </cfRule>
  </conditionalFormatting>
  <conditionalFormatting sqref="B101">
    <cfRule type="expression" dxfId="914" priority="80">
      <formula>kvartal &lt; 4</formula>
    </cfRule>
  </conditionalFormatting>
  <conditionalFormatting sqref="C101">
    <cfRule type="expression" dxfId="913" priority="79">
      <formula>kvartal &lt; 4</formula>
    </cfRule>
  </conditionalFormatting>
  <conditionalFormatting sqref="B104">
    <cfRule type="expression" dxfId="912" priority="78">
      <formula>kvartal &lt; 4</formula>
    </cfRule>
  </conditionalFormatting>
  <conditionalFormatting sqref="C104">
    <cfRule type="expression" dxfId="911" priority="77">
      <formula>kvartal &lt; 4</formula>
    </cfRule>
  </conditionalFormatting>
  <conditionalFormatting sqref="B115">
    <cfRule type="expression" dxfId="910" priority="76">
      <formula>kvartal &lt; 4</formula>
    </cfRule>
  </conditionalFormatting>
  <conditionalFormatting sqref="C115">
    <cfRule type="expression" dxfId="909" priority="75">
      <formula>kvartal &lt; 4</formula>
    </cfRule>
  </conditionalFormatting>
  <conditionalFormatting sqref="B123">
    <cfRule type="expression" dxfId="908" priority="74">
      <formula>kvartal &lt; 4</formula>
    </cfRule>
  </conditionalFormatting>
  <conditionalFormatting sqref="C123">
    <cfRule type="expression" dxfId="907" priority="73">
      <formula>kvartal &lt; 4</formula>
    </cfRule>
  </conditionalFormatting>
  <conditionalFormatting sqref="F70">
    <cfRule type="expression" dxfId="906" priority="72">
      <formula>kvartal &lt; 4</formula>
    </cfRule>
  </conditionalFormatting>
  <conditionalFormatting sqref="G70">
    <cfRule type="expression" dxfId="905" priority="71">
      <formula>kvartal &lt; 4</formula>
    </cfRule>
  </conditionalFormatting>
  <conditionalFormatting sqref="F71:G71">
    <cfRule type="expression" dxfId="904" priority="70">
      <formula>kvartal &lt; 4</formula>
    </cfRule>
  </conditionalFormatting>
  <conditionalFormatting sqref="F73:G74">
    <cfRule type="expression" dxfId="903" priority="69">
      <formula>kvartal &lt; 4</formula>
    </cfRule>
  </conditionalFormatting>
  <conditionalFormatting sqref="F81:G82">
    <cfRule type="expression" dxfId="902" priority="68">
      <formula>kvartal &lt; 4</formula>
    </cfRule>
  </conditionalFormatting>
  <conditionalFormatting sqref="F84:G85">
    <cfRule type="expression" dxfId="901" priority="67">
      <formula>kvartal &lt; 4</formula>
    </cfRule>
  </conditionalFormatting>
  <conditionalFormatting sqref="F91:G92">
    <cfRule type="expression" dxfId="900" priority="62">
      <formula>kvartal &lt; 4</formula>
    </cfRule>
  </conditionalFormatting>
  <conditionalFormatting sqref="F94:G95">
    <cfRule type="expression" dxfId="899" priority="61">
      <formula>kvartal &lt; 4</formula>
    </cfRule>
  </conditionalFormatting>
  <conditionalFormatting sqref="F102:G103">
    <cfRule type="expression" dxfId="898" priority="60">
      <formula>kvartal &lt; 4</formula>
    </cfRule>
  </conditionalFormatting>
  <conditionalFormatting sqref="F105:G106">
    <cfRule type="expression" dxfId="897" priority="59">
      <formula>kvartal &lt; 4</formula>
    </cfRule>
  </conditionalFormatting>
  <conditionalFormatting sqref="F115">
    <cfRule type="expression" dxfId="896" priority="58">
      <formula>kvartal &lt; 4</formula>
    </cfRule>
  </conditionalFormatting>
  <conditionalFormatting sqref="G115">
    <cfRule type="expression" dxfId="895" priority="57">
      <formula>kvartal &lt; 4</formula>
    </cfRule>
  </conditionalFormatting>
  <conditionalFormatting sqref="F123:G123">
    <cfRule type="expression" dxfId="894" priority="56">
      <formula>kvartal &lt; 4</formula>
    </cfRule>
  </conditionalFormatting>
  <conditionalFormatting sqref="F69:G69">
    <cfRule type="expression" dxfId="893" priority="55">
      <formula>kvartal &lt; 4</formula>
    </cfRule>
  </conditionalFormatting>
  <conditionalFormatting sqref="F72:G72">
    <cfRule type="expression" dxfId="892" priority="54">
      <formula>kvartal &lt; 4</formula>
    </cfRule>
  </conditionalFormatting>
  <conditionalFormatting sqref="F80:G80">
    <cfRule type="expression" dxfId="891" priority="53">
      <formula>kvartal &lt; 4</formula>
    </cfRule>
  </conditionalFormatting>
  <conditionalFormatting sqref="F83:G83">
    <cfRule type="expression" dxfId="890" priority="52">
      <formula>kvartal &lt; 4</formula>
    </cfRule>
  </conditionalFormatting>
  <conditionalFormatting sqref="F90:G90">
    <cfRule type="expression" dxfId="889" priority="46">
      <formula>kvartal &lt; 4</formula>
    </cfRule>
  </conditionalFormatting>
  <conditionalFormatting sqref="F93">
    <cfRule type="expression" dxfId="888" priority="45">
      <formula>kvartal &lt; 4</formula>
    </cfRule>
  </conditionalFormatting>
  <conditionalFormatting sqref="G93">
    <cfRule type="expression" dxfId="887" priority="44">
      <formula>kvartal &lt; 4</formula>
    </cfRule>
  </conditionalFormatting>
  <conditionalFormatting sqref="F101">
    <cfRule type="expression" dxfId="886" priority="43">
      <formula>kvartal &lt; 4</formula>
    </cfRule>
  </conditionalFormatting>
  <conditionalFormatting sqref="G101">
    <cfRule type="expression" dxfId="885" priority="42">
      <formula>kvartal &lt; 4</formula>
    </cfRule>
  </conditionalFormatting>
  <conditionalFormatting sqref="G104">
    <cfRule type="expression" dxfId="884" priority="41">
      <formula>kvartal &lt; 4</formula>
    </cfRule>
  </conditionalFormatting>
  <conditionalFormatting sqref="F104">
    <cfRule type="expression" dxfId="883" priority="40">
      <formula>kvartal &lt; 4</formula>
    </cfRule>
  </conditionalFormatting>
  <conditionalFormatting sqref="J69:K73">
    <cfRule type="expression" dxfId="882" priority="39">
      <formula>kvartal &lt; 4</formula>
    </cfRule>
  </conditionalFormatting>
  <conditionalFormatting sqref="J74:K74">
    <cfRule type="expression" dxfId="881" priority="38">
      <formula>kvartal &lt; 4</formula>
    </cfRule>
  </conditionalFormatting>
  <conditionalFormatting sqref="J80:K85">
    <cfRule type="expression" dxfId="880" priority="37">
      <formula>kvartal &lt; 4</formula>
    </cfRule>
  </conditionalFormatting>
  <conditionalFormatting sqref="J90:K95">
    <cfRule type="expression" dxfId="879" priority="34">
      <formula>kvartal &lt; 4</formula>
    </cfRule>
  </conditionalFormatting>
  <conditionalFormatting sqref="J101:K106">
    <cfRule type="expression" dxfId="878" priority="33">
      <formula>kvartal &lt; 4</formula>
    </cfRule>
  </conditionalFormatting>
  <conditionalFormatting sqref="J115:K115">
    <cfRule type="expression" dxfId="877" priority="32">
      <formula>kvartal &lt; 4</formula>
    </cfRule>
  </conditionalFormatting>
  <conditionalFormatting sqref="J123:K123">
    <cfRule type="expression" dxfId="876" priority="31">
      <formula>kvartal &lt; 4</formula>
    </cfRule>
  </conditionalFormatting>
  <conditionalFormatting sqref="A50:A52">
    <cfRule type="expression" dxfId="875" priority="12">
      <formula>kvartal &lt; 4</formula>
    </cfRule>
  </conditionalFormatting>
  <conditionalFormatting sqref="A69:A74">
    <cfRule type="expression" dxfId="874" priority="10">
      <formula>kvartal &lt; 4</formula>
    </cfRule>
  </conditionalFormatting>
  <conditionalFormatting sqref="A80:A85">
    <cfRule type="expression" dxfId="873" priority="9">
      <formula>kvartal &lt; 4</formula>
    </cfRule>
  </conditionalFormatting>
  <conditionalFormatting sqref="A90:A95">
    <cfRule type="expression" dxfId="872" priority="6">
      <formula>kvartal &lt; 4</formula>
    </cfRule>
  </conditionalFormatting>
  <conditionalFormatting sqref="A101:A106">
    <cfRule type="expression" dxfId="871" priority="5">
      <formula>kvartal &lt; 4</formula>
    </cfRule>
  </conditionalFormatting>
  <conditionalFormatting sqref="A115">
    <cfRule type="expression" dxfId="870" priority="4">
      <formula>kvartal &lt; 4</formula>
    </cfRule>
  </conditionalFormatting>
  <conditionalFormatting sqref="A123">
    <cfRule type="expression" dxfId="869" priority="3">
      <formula>kvartal &lt; 4</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64"/>
      <c r="C1" s="246" t="s">
        <v>141</v>
      </c>
      <c r="D1" s="26"/>
      <c r="E1" s="26"/>
      <c r="F1" s="26"/>
      <c r="G1" s="26"/>
      <c r="H1" s="26"/>
      <c r="I1" s="26"/>
      <c r="J1" s="26"/>
      <c r="K1" s="26"/>
      <c r="L1" s="26"/>
      <c r="M1" s="26"/>
    </row>
    <row r="2" spans="1:14" ht="15.75" x14ac:dyDescent="0.25">
      <c r="A2" s="165" t="s">
        <v>28</v>
      </c>
      <c r="B2" s="700"/>
      <c r="C2" s="700"/>
      <c r="D2" s="700"/>
      <c r="E2" s="297"/>
      <c r="F2" s="700"/>
      <c r="G2" s="700"/>
      <c r="H2" s="700"/>
      <c r="I2" s="297"/>
      <c r="J2" s="700"/>
      <c r="K2" s="700"/>
      <c r="L2" s="700"/>
      <c r="M2" s="297"/>
    </row>
    <row r="3" spans="1:14" ht="15.75" x14ac:dyDescent="0.25">
      <c r="A3" s="163"/>
      <c r="B3" s="297"/>
      <c r="C3" s="297"/>
      <c r="D3" s="297"/>
      <c r="E3" s="297"/>
      <c r="F3" s="297"/>
      <c r="G3" s="297"/>
      <c r="H3" s="297"/>
      <c r="I3" s="297"/>
      <c r="J3" s="297"/>
      <c r="K3" s="297"/>
      <c r="L3" s="297"/>
      <c r="M3" s="297"/>
    </row>
    <row r="4" spans="1:14" x14ac:dyDescent="0.2">
      <c r="A4" s="144"/>
      <c r="B4" s="696" t="s">
        <v>0</v>
      </c>
      <c r="C4" s="697"/>
      <c r="D4" s="697"/>
      <c r="E4" s="299"/>
      <c r="F4" s="696" t="s">
        <v>1</v>
      </c>
      <c r="G4" s="697"/>
      <c r="H4" s="697"/>
      <c r="I4" s="302"/>
      <c r="J4" s="696" t="s">
        <v>2</v>
      </c>
      <c r="K4" s="697"/>
      <c r="L4" s="697"/>
      <c r="M4" s="302"/>
    </row>
    <row r="5" spans="1:14" x14ac:dyDescent="0.2">
      <c r="A5" s="158"/>
      <c r="B5" s="152" t="s">
        <v>422</v>
      </c>
      <c r="C5" s="152" t="s">
        <v>423</v>
      </c>
      <c r="D5" s="243" t="s">
        <v>3</v>
      </c>
      <c r="E5" s="303" t="s">
        <v>29</v>
      </c>
      <c r="F5" s="152" t="s">
        <v>422</v>
      </c>
      <c r="G5" s="152" t="s">
        <v>423</v>
      </c>
      <c r="H5" s="243" t="s">
        <v>3</v>
      </c>
      <c r="I5" s="162" t="s">
        <v>29</v>
      </c>
      <c r="J5" s="152" t="s">
        <v>422</v>
      </c>
      <c r="K5" s="152" t="s">
        <v>423</v>
      </c>
      <c r="L5" s="243" t="s">
        <v>3</v>
      </c>
      <c r="M5" s="162" t="s">
        <v>29</v>
      </c>
    </row>
    <row r="6" spans="1:14" x14ac:dyDescent="0.2">
      <c r="A6" s="665"/>
      <c r="B6" s="156"/>
      <c r="C6" s="156"/>
      <c r="D6" s="244" t="s">
        <v>4</v>
      </c>
      <c r="E6" s="156" t="s">
        <v>30</v>
      </c>
      <c r="F6" s="161"/>
      <c r="G6" s="161"/>
      <c r="H6" s="243" t="s">
        <v>4</v>
      </c>
      <c r="I6" s="156" t="s">
        <v>30</v>
      </c>
      <c r="J6" s="161"/>
      <c r="K6" s="161"/>
      <c r="L6" s="243" t="s">
        <v>4</v>
      </c>
      <c r="M6" s="156" t="s">
        <v>30</v>
      </c>
    </row>
    <row r="7" spans="1:14" ht="15.75" x14ac:dyDescent="0.2">
      <c r="A7" s="14" t="s">
        <v>23</v>
      </c>
      <c r="B7" s="304">
        <v>2734</v>
      </c>
      <c r="C7" s="305">
        <v>4939</v>
      </c>
      <c r="D7" s="347">
        <f>IF(B7=0, "    ---- ", IF(ABS(ROUND(100/B7*C7-100,1))&lt;999,ROUND(100/B7*C7-100,1),IF(ROUND(100/B7*C7-100,1)&gt;999,999,-999)))</f>
        <v>80.7</v>
      </c>
      <c r="E7" s="11">
        <f>IFERROR(100/'Skjema total MA'!C7*C7,0)</f>
        <v>0.18598406406162993</v>
      </c>
      <c r="F7" s="304"/>
      <c r="G7" s="305"/>
      <c r="H7" s="347"/>
      <c r="I7" s="160"/>
      <c r="J7" s="306">
        <f t="shared" ref="J7:K10" si="0">SUM(B7,F7)</f>
        <v>2734</v>
      </c>
      <c r="K7" s="307">
        <f t="shared" si="0"/>
        <v>4939</v>
      </c>
      <c r="L7" s="370">
        <f>IF(J7=0, "    ---- ", IF(ABS(ROUND(100/J7*K7-100,1))&lt;999,ROUND(100/J7*K7-100,1),IF(ROUND(100/J7*K7-100,1)&gt;999,999,-999)))</f>
        <v>80.7</v>
      </c>
      <c r="M7" s="11">
        <f>IFERROR(100/'Skjema total MA'!I7*K7,0)</f>
        <v>6.4285668704704493E-2</v>
      </c>
    </row>
    <row r="8" spans="1:14" ht="15.75" x14ac:dyDescent="0.2">
      <c r="A8" s="21" t="s">
        <v>25</v>
      </c>
      <c r="B8" s="279">
        <v>2554</v>
      </c>
      <c r="C8" s="280">
        <v>4670</v>
      </c>
      <c r="D8" s="166">
        <f t="shared" ref="D8:D10" si="1">IF(B8=0, "    ---- ", IF(ABS(ROUND(100/B8*C8-100,1))&lt;999,ROUND(100/B8*C8-100,1),IF(ROUND(100/B8*C8-100,1)&gt;999,999,-999)))</f>
        <v>82.9</v>
      </c>
      <c r="E8" s="27">
        <f>IFERROR(100/'Skjema total MA'!C8*C8,0)</f>
        <v>0.29239752476383785</v>
      </c>
      <c r="F8" s="283"/>
      <c r="G8" s="284"/>
      <c r="H8" s="166"/>
      <c r="I8" s="175"/>
      <c r="J8" s="232">
        <f t="shared" si="0"/>
        <v>2554</v>
      </c>
      <c r="K8" s="285">
        <f t="shared" si="0"/>
        <v>4670</v>
      </c>
      <c r="L8" s="166">
        <f t="shared" ref="L8:L9" si="2">IF(J8=0, "    ---- ", IF(ABS(ROUND(100/J8*K8-100,1))&lt;999,ROUND(100/J8*K8-100,1),IF(ROUND(100/J8*K8-100,1)&gt;999,999,-999)))</f>
        <v>82.9</v>
      </c>
      <c r="M8" s="27">
        <f>IFERROR(100/'Skjema total MA'!I8*K8,0)</f>
        <v>0.29239752476383785</v>
      </c>
    </row>
    <row r="9" spans="1:14" ht="15.75" x14ac:dyDescent="0.2">
      <c r="A9" s="21" t="s">
        <v>24</v>
      </c>
      <c r="B9" s="279">
        <v>180</v>
      </c>
      <c r="C9" s="280">
        <v>269</v>
      </c>
      <c r="D9" s="166">
        <f t="shared" si="1"/>
        <v>49.4</v>
      </c>
      <c r="E9" s="27">
        <f>IFERROR(100/'Skjema total MA'!C9*C9,0)</f>
        <v>4.6199281711512566E-2</v>
      </c>
      <c r="F9" s="283"/>
      <c r="G9" s="284"/>
      <c r="H9" s="166"/>
      <c r="I9" s="175"/>
      <c r="J9" s="232">
        <f t="shared" si="0"/>
        <v>180</v>
      </c>
      <c r="K9" s="285">
        <f t="shared" si="0"/>
        <v>269</v>
      </c>
      <c r="L9" s="166">
        <f t="shared" si="2"/>
        <v>49.4</v>
      </c>
      <c r="M9" s="27">
        <f>IFERROR(100/'Skjema total MA'!I9*K9,0)</f>
        <v>4.6199281711512566E-2</v>
      </c>
    </row>
    <row r="10" spans="1:14" ht="15.75" x14ac:dyDescent="0.2">
      <c r="A10" s="13" t="s">
        <v>371</v>
      </c>
      <c r="B10" s="308">
        <v>14510</v>
      </c>
      <c r="C10" s="309">
        <v>30106</v>
      </c>
      <c r="D10" s="171">
        <f t="shared" si="1"/>
        <v>107.5</v>
      </c>
      <c r="E10" s="11">
        <f>IFERROR(100/'Skjema total MA'!C10*C10,0)</f>
        <v>0.15285876405007157</v>
      </c>
      <c r="F10" s="308"/>
      <c r="G10" s="309"/>
      <c r="H10" s="171"/>
      <c r="I10" s="160"/>
      <c r="J10" s="306">
        <f t="shared" si="0"/>
        <v>14510</v>
      </c>
      <c r="K10" s="307">
        <f t="shared" si="0"/>
        <v>30106</v>
      </c>
      <c r="L10" s="371">
        <f t="shared" ref="L10" si="3">IF(J10=0, "    ---- ", IF(ABS(ROUND(100/J10*K10-100,1))&lt;999,ROUND(100/J10*K10-100,1),IF(ROUND(100/J10*K10-100,1)&gt;999,999,-999)))</f>
        <v>107.5</v>
      </c>
      <c r="M10" s="11">
        <f>IFERROR(100/'Skjema total MA'!I10*K10,0)</f>
        <v>4.5546719257326305E-2</v>
      </c>
    </row>
    <row r="11" spans="1:14" s="43" customFormat="1" ht="15.75" x14ac:dyDescent="0.2">
      <c r="A11" s="13" t="s">
        <v>372</v>
      </c>
      <c r="B11" s="308"/>
      <c r="C11" s="309"/>
      <c r="D11" s="171"/>
      <c r="E11" s="11"/>
      <c r="F11" s="308"/>
      <c r="G11" s="309"/>
      <c r="H11" s="171"/>
      <c r="I11" s="160"/>
      <c r="J11" s="306"/>
      <c r="K11" s="307"/>
      <c r="L11" s="371"/>
      <c r="M11" s="11"/>
      <c r="N11" s="143"/>
    </row>
    <row r="12" spans="1:14" s="43" customFormat="1" ht="15.75" x14ac:dyDescent="0.2">
      <c r="A12" s="41" t="s">
        <v>373</v>
      </c>
      <c r="B12" s="310"/>
      <c r="C12" s="311"/>
      <c r="D12" s="169"/>
      <c r="E12" s="36"/>
      <c r="F12" s="310"/>
      <c r="G12" s="311"/>
      <c r="H12" s="169"/>
      <c r="I12" s="169"/>
      <c r="J12" s="312"/>
      <c r="K12" s="313"/>
      <c r="L12" s="372"/>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95"/>
      <c r="C18" s="695"/>
      <c r="D18" s="695"/>
      <c r="E18" s="297"/>
      <c r="F18" s="695"/>
      <c r="G18" s="695"/>
      <c r="H18" s="695"/>
      <c r="I18" s="297"/>
      <c r="J18" s="695"/>
      <c r="K18" s="695"/>
      <c r="L18" s="695"/>
      <c r="M18" s="297"/>
    </row>
    <row r="19" spans="1:14" x14ac:dyDescent="0.2">
      <c r="A19" s="144"/>
      <c r="B19" s="696" t="s">
        <v>0</v>
      </c>
      <c r="C19" s="697"/>
      <c r="D19" s="697"/>
      <c r="E19" s="299"/>
      <c r="F19" s="696" t="s">
        <v>1</v>
      </c>
      <c r="G19" s="697"/>
      <c r="H19" s="697"/>
      <c r="I19" s="302"/>
      <c r="J19" s="696" t="s">
        <v>2</v>
      </c>
      <c r="K19" s="697"/>
      <c r="L19" s="697"/>
      <c r="M19" s="302"/>
    </row>
    <row r="20" spans="1:14" x14ac:dyDescent="0.2">
      <c r="A20" s="140" t="s">
        <v>5</v>
      </c>
      <c r="B20" s="152" t="s">
        <v>422</v>
      </c>
      <c r="C20" s="152" t="s">
        <v>423</v>
      </c>
      <c r="D20" s="162" t="s">
        <v>3</v>
      </c>
      <c r="E20" s="303" t="s">
        <v>29</v>
      </c>
      <c r="F20" s="152" t="s">
        <v>422</v>
      </c>
      <c r="G20" s="152" t="s">
        <v>423</v>
      </c>
      <c r="H20" s="162" t="s">
        <v>3</v>
      </c>
      <c r="I20" s="162" t="s">
        <v>29</v>
      </c>
      <c r="J20" s="152" t="s">
        <v>422</v>
      </c>
      <c r="K20" s="152" t="s">
        <v>423</v>
      </c>
      <c r="L20" s="162" t="s">
        <v>3</v>
      </c>
      <c r="M20" s="162" t="s">
        <v>29</v>
      </c>
    </row>
    <row r="21" spans="1:14" x14ac:dyDescent="0.2">
      <c r="A21" s="666"/>
      <c r="B21" s="156"/>
      <c r="C21" s="156"/>
      <c r="D21" s="244" t="s">
        <v>4</v>
      </c>
      <c r="E21" s="156" t="s">
        <v>30</v>
      </c>
      <c r="F21" s="161"/>
      <c r="G21" s="161"/>
      <c r="H21" s="243" t="s">
        <v>4</v>
      </c>
      <c r="I21" s="156" t="s">
        <v>30</v>
      </c>
      <c r="J21" s="161"/>
      <c r="K21" s="161"/>
      <c r="L21" s="156" t="s">
        <v>4</v>
      </c>
      <c r="M21" s="156" t="s">
        <v>30</v>
      </c>
    </row>
    <row r="22" spans="1:14" ht="15.75" x14ac:dyDescent="0.2">
      <c r="A22" s="14" t="s">
        <v>23</v>
      </c>
      <c r="B22" s="308">
        <v>3302</v>
      </c>
      <c r="C22" s="308">
        <v>5529</v>
      </c>
      <c r="D22" s="347">
        <f t="shared" ref="D22:D28" si="4">IF(B22=0, "    ---- ", IF(ABS(ROUND(100/B22*C22-100,1))&lt;999,ROUND(100/B22*C22-100,1),IF(ROUND(100/B22*C22-100,1)&gt;999,999,-999)))</f>
        <v>67.400000000000006</v>
      </c>
      <c r="E22" s="11">
        <f>IFERROR(100/'Skjema total MA'!C22*C22,0)</f>
        <v>0.53467449263624045</v>
      </c>
      <c r="F22" s="316"/>
      <c r="G22" s="316"/>
      <c r="H22" s="347"/>
      <c r="I22" s="11"/>
      <c r="J22" s="314">
        <f t="shared" ref="J22:K28" si="5">SUM(B22,F22)</f>
        <v>3302</v>
      </c>
      <c r="K22" s="314">
        <f t="shared" si="5"/>
        <v>5529</v>
      </c>
      <c r="L22" s="370">
        <f t="shared" ref="L22:L28" si="6">IF(J22=0, "    ---- ", IF(ABS(ROUND(100/J22*K22-100,1))&lt;999,ROUND(100/J22*K22-100,1),IF(ROUND(100/J22*K22-100,1)&gt;999,999,-999)))</f>
        <v>67.400000000000006</v>
      </c>
      <c r="M22" s="24">
        <f>IFERROR(100/'Skjema total MA'!I22*K22,0)</f>
        <v>0.34825229255963391</v>
      </c>
    </row>
    <row r="23" spans="1:14" ht="15.75" x14ac:dyDescent="0.2">
      <c r="A23" s="551" t="s">
        <v>374</v>
      </c>
      <c r="B23" s="279"/>
      <c r="C23" s="279"/>
      <c r="D23" s="166"/>
      <c r="E23" s="11"/>
      <c r="F23" s="288"/>
      <c r="G23" s="288"/>
      <c r="H23" s="166"/>
      <c r="I23" s="363"/>
      <c r="J23" s="288"/>
      <c r="K23" s="288"/>
      <c r="L23" s="166"/>
      <c r="M23" s="23"/>
    </row>
    <row r="24" spans="1:14" ht="15.75" x14ac:dyDescent="0.2">
      <c r="A24" s="551" t="s">
        <v>375</v>
      </c>
      <c r="B24" s="279"/>
      <c r="C24" s="279"/>
      <c r="D24" s="166"/>
      <c r="E24" s="11"/>
      <c r="F24" s="288"/>
      <c r="G24" s="288"/>
      <c r="H24" s="166"/>
      <c r="I24" s="363"/>
      <c r="J24" s="288"/>
      <c r="K24" s="288"/>
      <c r="L24" s="166"/>
      <c r="M24" s="23"/>
    </row>
    <row r="25" spans="1:14" ht="15.75" x14ac:dyDescent="0.2">
      <c r="A25" s="551" t="s">
        <v>376</v>
      </c>
      <c r="B25" s="279"/>
      <c r="C25" s="279"/>
      <c r="D25" s="166"/>
      <c r="E25" s="11"/>
      <c r="F25" s="288"/>
      <c r="G25" s="288"/>
      <c r="H25" s="166"/>
      <c r="I25" s="363"/>
      <c r="J25" s="288"/>
      <c r="K25" s="288"/>
      <c r="L25" s="166"/>
      <c r="M25" s="23"/>
    </row>
    <row r="26" spans="1:14" ht="15.75" x14ac:dyDescent="0.2">
      <c r="A26" s="551" t="s">
        <v>377</v>
      </c>
      <c r="B26" s="279"/>
      <c r="C26" s="279"/>
      <c r="D26" s="166"/>
      <c r="E26" s="11"/>
      <c r="F26" s="288"/>
      <c r="G26" s="288"/>
      <c r="H26" s="166"/>
      <c r="I26" s="363"/>
      <c r="J26" s="288"/>
      <c r="K26" s="288"/>
      <c r="L26" s="166"/>
      <c r="M26" s="23"/>
    </row>
    <row r="27" spans="1:14" x14ac:dyDescent="0.2">
      <c r="A27" s="551" t="s">
        <v>11</v>
      </c>
      <c r="B27" s="279"/>
      <c r="C27" s="279"/>
      <c r="D27" s="166"/>
      <c r="E27" s="11"/>
      <c r="F27" s="288"/>
      <c r="G27" s="288"/>
      <c r="H27" s="166"/>
      <c r="I27" s="363"/>
      <c r="J27" s="288"/>
      <c r="K27" s="288"/>
      <c r="L27" s="166"/>
      <c r="M27" s="23"/>
    </row>
    <row r="28" spans="1:14" ht="15.75" x14ac:dyDescent="0.2">
      <c r="A28" s="49" t="s">
        <v>282</v>
      </c>
      <c r="B28" s="44">
        <v>3302</v>
      </c>
      <c r="C28" s="285">
        <v>5529</v>
      </c>
      <c r="D28" s="166">
        <f t="shared" si="4"/>
        <v>67.400000000000006</v>
      </c>
      <c r="E28" s="11">
        <f>IFERROR(100/'Skjema total MA'!C28*C28,0)</f>
        <v>0.5284688431128487</v>
      </c>
      <c r="F28" s="232"/>
      <c r="G28" s="285"/>
      <c r="H28" s="166"/>
      <c r="I28" s="27"/>
      <c r="J28" s="44">
        <f t="shared" si="5"/>
        <v>3302</v>
      </c>
      <c r="K28" s="44">
        <f t="shared" si="5"/>
        <v>5529</v>
      </c>
      <c r="L28" s="252">
        <f t="shared" si="6"/>
        <v>67.400000000000006</v>
      </c>
      <c r="M28" s="23">
        <f>IFERROR(100/'Skjema total MA'!I28*K28,0)</f>
        <v>0.5284688431128487</v>
      </c>
    </row>
    <row r="29" spans="1:14" s="3" customFormat="1" ht="15.75" x14ac:dyDescent="0.2">
      <c r="A29" s="13" t="s">
        <v>371</v>
      </c>
      <c r="B29" s="234"/>
      <c r="C29" s="234"/>
      <c r="D29" s="171"/>
      <c r="E29" s="11"/>
      <c r="F29" s="306"/>
      <c r="G29" s="306"/>
      <c r="H29" s="171"/>
      <c r="I29" s="11"/>
      <c r="J29" s="234"/>
      <c r="K29" s="234"/>
      <c r="L29" s="371"/>
      <c r="M29" s="24"/>
      <c r="N29" s="148"/>
    </row>
    <row r="30" spans="1:14" s="3" customFormat="1" ht="15.75" x14ac:dyDescent="0.2">
      <c r="A30" s="551" t="s">
        <v>374</v>
      </c>
      <c r="B30" s="279"/>
      <c r="C30" s="279"/>
      <c r="D30" s="166"/>
      <c r="E30" s="11"/>
      <c r="F30" s="288"/>
      <c r="G30" s="288"/>
      <c r="H30" s="166"/>
      <c r="I30" s="363"/>
      <c r="J30" s="288"/>
      <c r="K30" s="288"/>
      <c r="L30" s="166"/>
      <c r="M30" s="23"/>
      <c r="N30" s="148"/>
    </row>
    <row r="31" spans="1:14" s="3" customFormat="1" ht="15.75" x14ac:dyDescent="0.2">
      <c r="A31" s="551" t="s">
        <v>375</v>
      </c>
      <c r="B31" s="279"/>
      <c r="C31" s="279"/>
      <c r="D31" s="166"/>
      <c r="E31" s="11"/>
      <c r="F31" s="288"/>
      <c r="G31" s="288"/>
      <c r="H31" s="166"/>
      <c r="I31" s="363"/>
      <c r="J31" s="288"/>
      <c r="K31" s="288"/>
      <c r="L31" s="166"/>
      <c r="M31" s="23"/>
      <c r="N31" s="148"/>
    </row>
    <row r="32" spans="1:14" ht="15.75" x14ac:dyDescent="0.2">
      <c r="A32" s="551" t="s">
        <v>376</v>
      </c>
      <c r="B32" s="279"/>
      <c r="C32" s="279"/>
      <c r="D32" s="166"/>
      <c r="E32" s="11"/>
      <c r="F32" s="288"/>
      <c r="G32" s="288"/>
      <c r="H32" s="166"/>
      <c r="I32" s="363"/>
      <c r="J32" s="288"/>
      <c r="K32" s="288"/>
      <c r="L32" s="166"/>
      <c r="M32" s="23"/>
    </row>
    <row r="33" spans="1:14" ht="15.75" x14ac:dyDescent="0.2">
      <c r="A33" s="551" t="s">
        <v>377</v>
      </c>
      <c r="B33" s="279"/>
      <c r="C33" s="279"/>
      <c r="D33" s="166"/>
      <c r="E33" s="11"/>
      <c r="F33" s="288"/>
      <c r="G33" s="288"/>
      <c r="H33" s="166"/>
      <c r="I33" s="363"/>
      <c r="J33" s="288"/>
      <c r="K33" s="288"/>
      <c r="L33" s="166"/>
      <c r="M33" s="23"/>
    </row>
    <row r="34" spans="1:14" ht="15.75" x14ac:dyDescent="0.2">
      <c r="A34" s="13" t="s">
        <v>372</v>
      </c>
      <c r="B34" s="234"/>
      <c r="C34" s="307"/>
      <c r="D34" s="171"/>
      <c r="E34" s="11"/>
      <c r="F34" s="306"/>
      <c r="G34" s="307"/>
      <c r="H34" s="171"/>
      <c r="I34" s="11"/>
      <c r="J34" s="234"/>
      <c r="K34" s="234"/>
      <c r="L34" s="371"/>
      <c r="M34" s="24"/>
    </row>
    <row r="35" spans="1:14" ht="15.75" x14ac:dyDescent="0.2">
      <c r="A35" s="13" t="s">
        <v>373</v>
      </c>
      <c r="B35" s="234"/>
      <c r="C35" s="307"/>
      <c r="D35" s="171"/>
      <c r="E35" s="11"/>
      <c r="F35" s="306"/>
      <c r="G35" s="307"/>
      <c r="H35" s="171"/>
      <c r="I35" s="11"/>
      <c r="J35" s="234"/>
      <c r="K35" s="234"/>
      <c r="L35" s="371"/>
      <c r="M35" s="24"/>
    </row>
    <row r="36" spans="1:14" ht="15.75" x14ac:dyDescent="0.2">
      <c r="A36" s="12" t="s">
        <v>290</v>
      </c>
      <c r="B36" s="234"/>
      <c r="C36" s="307"/>
      <c r="D36" s="171"/>
      <c r="E36" s="11"/>
      <c r="F36" s="317"/>
      <c r="G36" s="318"/>
      <c r="H36" s="171"/>
      <c r="I36" s="377"/>
      <c r="J36" s="234"/>
      <c r="K36" s="234"/>
      <c r="L36" s="371"/>
      <c r="M36" s="24"/>
    </row>
    <row r="37" spans="1:14" ht="15.75" x14ac:dyDescent="0.2">
      <c r="A37" s="12" t="s">
        <v>379</v>
      </c>
      <c r="B37" s="234"/>
      <c r="C37" s="307"/>
      <c r="D37" s="171"/>
      <c r="E37" s="11"/>
      <c r="F37" s="317"/>
      <c r="G37" s="319"/>
      <c r="H37" s="171"/>
      <c r="I37" s="377"/>
      <c r="J37" s="234"/>
      <c r="K37" s="234"/>
      <c r="L37" s="371"/>
      <c r="M37" s="24"/>
    </row>
    <row r="38" spans="1:14" ht="15.75" x14ac:dyDescent="0.2">
      <c r="A38" s="12" t="s">
        <v>380</v>
      </c>
      <c r="B38" s="234"/>
      <c r="C38" s="307"/>
      <c r="D38" s="171"/>
      <c r="E38" s="24"/>
      <c r="F38" s="317"/>
      <c r="G38" s="318"/>
      <c r="H38" s="171"/>
      <c r="I38" s="377"/>
      <c r="J38" s="234"/>
      <c r="K38" s="234"/>
      <c r="L38" s="371"/>
      <c r="M38" s="24"/>
    </row>
    <row r="39" spans="1:14" ht="15.75" x14ac:dyDescent="0.2">
      <c r="A39" s="18" t="s">
        <v>381</v>
      </c>
      <c r="B39" s="274"/>
      <c r="C39" s="313"/>
      <c r="D39" s="169"/>
      <c r="E39" s="36"/>
      <c r="F39" s="320"/>
      <c r="G39" s="321"/>
      <c r="H39" s="169"/>
      <c r="I39" s="36"/>
      <c r="J39" s="234"/>
      <c r="K39" s="234"/>
      <c r="L39" s="372"/>
      <c r="M39" s="36"/>
    </row>
    <row r="40" spans="1:14" ht="15.75" x14ac:dyDescent="0.25">
      <c r="A40" s="47"/>
      <c r="B40" s="251"/>
      <c r="C40" s="251"/>
      <c r="D40" s="699"/>
      <c r="E40" s="699"/>
      <c r="F40" s="699"/>
      <c r="G40" s="699"/>
      <c r="H40" s="699"/>
      <c r="I40" s="699"/>
      <c r="J40" s="699"/>
      <c r="K40" s="699"/>
      <c r="L40" s="699"/>
      <c r="M40" s="300"/>
    </row>
    <row r="41" spans="1:14" x14ac:dyDescent="0.2">
      <c r="A41" s="155"/>
    </row>
    <row r="42" spans="1:14" ht="15.75" x14ac:dyDescent="0.25">
      <c r="A42" s="147" t="s">
        <v>279</v>
      </c>
      <c r="B42" s="700"/>
      <c r="C42" s="700"/>
      <c r="D42" s="700"/>
      <c r="E42" s="297"/>
      <c r="F42" s="701"/>
      <c r="G42" s="701"/>
      <c r="H42" s="701"/>
      <c r="I42" s="300"/>
      <c r="J42" s="701"/>
      <c r="K42" s="701"/>
      <c r="L42" s="701"/>
      <c r="M42" s="300"/>
    </row>
    <row r="43" spans="1:14" ht="15.75" x14ac:dyDescent="0.25">
      <c r="A43" s="163"/>
      <c r="B43" s="301"/>
      <c r="C43" s="301"/>
      <c r="D43" s="301"/>
      <c r="E43" s="301"/>
      <c r="F43" s="300"/>
      <c r="G43" s="300"/>
      <c r="H43" s="300"/>
      <c r="I43" s="300"/>
      <c r="J43" s="300"/>
      <c r="K43" s="300"/>
      <c r="L43" s="300"/>
      <c r="M43" s="300"/>
    </row>
    <row r="44" spans="1:14" ht="15.75" x14ac:dyDescent="0.25">
      <c r="A44" s="245"/>
      <c r="B44" s="696" t="s">
        <v>0</v>
      </c>
      <c r="C44" s="697"/>
      <c r="D44" s="697"/>
      <c r="E44" s="241"/>
      <c r="F44" s="300"/>
      <c r="G44" s="300"/>
      <c r="H44" s="300"/>
      <c r="I44" s="300"/>
      <c r="J44" s="300"/>
      <c r="K44" s="300"/>
      <c r="L44" s="300"/>
      <c r="M44" s="300"/>
    </row>
    <row r="45" spans="1:14" s="3" customFormat="1" x14ac:dyDescent="0.2">
      <c r="A45" s="140"/>
      <c r="B45" s="152" t="s">
        <v>422</v>
      </c>
      <c r="C45" s="152" t="s">
        <v>423</v>
      </c>
      <c r="D45" s="162" t="s">
        <v>3</v>
      </c>
      <c r="E45" s="162" t="s">
        <v>29</v>
      </c>
      <c r="F45" s="174"/>
      <c r="G45" s="174"/>
      <c r="H45" s="173"/>
      <c r="I45" s="173"/>
      <c r="J45" s="174"/>
      <c r="K45" s="174"/>
      <c r="L45" s="173"/>
      <c r="M45" s="173"/>
      <c r="N45" s="148"/>
    </row>
    <row r="46" spans="1:14" s="3" customFormat="1" x14ac:dyDescent="0.2">
      <c r="A46" s="666"/>
      <c r="B46" s="242"/>
      <c r="C46" s="242"/>
      <c r="D46" s="243" t="s">
        <v>4</v>
      </c>
      <c r="E46" s="156" t="s">
        <v>30</v>
      </c>
      <c r="F46" s="173"/>
      <c r="G46" s="173"/>
      <c r="H46" s="173"/>
      <c r="I46" s="173"/>
      <c r="J46" s="173"/>
      <c r="K46" s="173"/>
      <c r="L46" s="173"/>
      <c r="M46" s="173"/>
      <c r="N46" s="148"/>
    </row>
    <row r="47" spans="1:14" s="3" customFormat="1" ht="15.75" x14ac:dyDescent="0.2">
      <c r="A47" s="14" t="s">
        <v>23</v>
      </c>
      <c r="B47" s="308">
        <v>113479</v>
      </c>
      <c r="C47" s="309">
        <v>143923</v>
      </c>
      <c r="D47" s="370">
        <f t="shared" ref="D47:D48" si="7">IF(B47=0, "    ---- ", IF(ABS(ROUND(100/B47*C47-100,1))&lt;999,ROUND(100/B47*C47-100,1),IF(ROUND(100/B47*C47-100,1)&gt;999,999,-999)))</f>
        <v>26.8</v>
      </c>
      <c r="E47" s="11">
        <f>IFERROR(100/'Skjema total MA'!C47*C47,0)</f>
        <v>4.45788372064324</v>
      </c>
      <c r="F47" s="145"/>
      <c r="G47" s="33"/>
      <c r="H47" s="159"/>
      <c r="I47" s="159"/>
      <c r="J47" s="37"/>
      <c r="K47" s="37"/>
      <c r="L47" s="159"/>
      <c r="M47" s="159"/>
      <c r="N47" s="148"/>
    </row>
    <row r="48" spans="1:14" s="3" customFormat="1" ht="15.75" x14ac:dyDescent="0.2">
      <c r="A48" s="38" t="s">
        <v>382</v>
      </c>
      <c r="B48" s="279">
        <v>113479</v>
      </c>
      <c r="C48" s="280">
        <v>143923</v>
      </c>
      <c r="D48" s="252">
        <f t="shared" si="7"/>
        <v>26.8</v>
      </c>
      <c r="E48" s="27">
        <f>IFERROR(100/'Skjema total MA'!C48*C48,0)</f>
        <v>7.9208327547467929</v>
      </c>
      <c r="F48" s="145"/>
      <c r="G48" s="33"/>
      <c r="H48" s="145"/>
      <c r="I48" s="145"/>
      <c r="J48" s="33"/>
      <c r="K48" s="33"/>
      <c r="L48" s="159"/>
      <c r="M48" s="159"/>
      <c r="N48" s="148"/>
    </row>
    <row r="49" spans="1:14" s="3" customFormat="1" ht="15.75" x14ac:dyDescent="0.2">
      <c r="A49" s="38" t="s">
        <v>383</v>
      </c>
      <c r="B49" s="44"/>
      <c r="C49" s="285"/>
      <c r="D49" s="252"/>
      <c r="E49" s="27"/>
      <c r="F49" s="145"/>
      <c r="G49" s="33"/>
      <c r="H49" s="145"/>
      <c r="I49" s="145"/>
      <c r="J49" s="37"/>
      <c r="K49" s="37"/>
      <c r="L49" s="159"/>
      <c r="M49" s="159"/>
      <c r="N49" s="148"/>
    </row>
    <row r="50" spans="1:14" s="3" customFormat="1" x14ac:dyDescent="0.2">
      <c r="A50" s="294" t="s">
        <v>6</v>
      </c>
      <c r="B50" s="288"/>
      <c r="C50" s="289"/>
      <c r="D50" s="252"/>
      <c r="E50" s="23"/>
      <c r="F50" s="145"/>
      <c r="G50" s="33"/>
      <c r="H50" s="145"/>
      <c r="I50" s="145"/>
      <c r="J50" s="33"/>
      <c r="K50" s="33"/>
      <c r="L50" s="159"/>
      <c r="M50" s="159"/>
      <c r="N50" s="148"/>
    </row>
    <row r="51" spans="1:14" s="3" customFormat="1" x14ac:dyDescent="0.2">
      <c r="A51" s="294" t="s">
        <v>7</v>
      </c>
      <c r="B51" s="288"/>
      <c r="C51" s="289"/>
      <c r="D51" s="252"/>
      <c r="E51" s="23"/>
      <c r="F51" s="145"/>
      <c r="G51" s="33"/>
      <c r="H51" s="145"/>
      <c r="I51" s="145"/>
      <c r="J51" s="33"/>
      <c r="K51" s="33"/>
      <c r="L51" s="159"/>
      <c r="M51" s="159"/>
      <c r="N51" s="148"/>
    </row>
    <row r="52" spans="1:14" s="3" customFormat="1" x14ac:dyDescent="0.2">
      <c r="A52" s="294" t="s">
        <v>8</v>
      </c>
      <c r="B52" s="288"/>
      <c r="C52" s="289"/>
      <c r="D52" s="252"/>
      <c r="E52" s="23"/>
      <c r="F52" s="145"/>
      <c r="G52" s="33"/>
      <c r="H52" s="145"/>
      <c r="I52" s="145"/>
      <c r="J52" s="33"/>
      <c r="K52" s="33"/>
      <c r="L52" s="159"/>
      <c r="M52" s="159"/>
      <c r="N52" s="148"/>
    </row>
    <row r="53" spans="1:14" s="3" customFormat="1" ht="15.75" x14ac:dyDescent="0.2">
      <c r="A53" s="39" t="s">
        <v>384</v>
      </c>
      <c r="B53" s="308"/>
      <c r="C53" s="309"/>
      <c r="D53" s="371"/>
      <c r="E53" s="11"/>
      <c r="F53" s="145"/>
      <c r="G53" s="33"/>
      <c r="H53" s="145"/>
      <c r="I53" s="145"/>
      <c r="J53" s="33"/>
      <c r="K53" s="33"/>
      <c r="L53" s="159"/>
      <c r="M53" s="159"/>
      <c r="N53" s="148"/>
    </row>
    <row r="54" spans="1:14" s="3" customFormat="1" ht="15.75" x14ac:dyDescent="0.2">
      <c r="A54" s="38" t="s">
        <v>382</v>
      </c>
      <c r="B54" s="279"/>
      <c r="C54" s="280"/>
      <c r="D54" s="252"/>
      <c r="E54" s="27"/>
      <c r="F54" s="145"/>
      <c r="G54" s="33"/>
      <c r="H54" s="145"/>
      <c r="I54" s="145"/>
      <c r="J54" s="33"/>
      <c r="K54" s="33"/>
      <c r="L54" s="159"/>
      <c r="M54" s="159"/>
      <c r="N54" s="148"/>
    </row>
    <row r="55" spans="1:14" s="3" customFormat="1" ht="15.75" x14ac:dyDescent="0.2">
      <c r="A55" s="38" t="s">
        <v>383</v>
      </c>
      <c r="B55" s="279"/>
      <c r="C55" s="280"/>
      <c r="D55" s="252"/>
      <c r="E55" s="27"/>
      <c r="F55" s="145"/>
      <c r="G55" s="33"/>
      <c r="H55" s="145"/>
      <c r="I55" s="145"/>
      <c r="J55" s="33"/>
      <c r="K55" s="33"/>
      <c r="L55" s="159"/>
      <c r="M55" s="159"/>
      <c r="N55" s="148"/>
    </row>
    <row r="56" spans="1:14" s="3" customFormat="1" ht="15.75" x14ac:dyDescent="0.2">
      <c r="A56" s="39" t="s">
        <v>385</v>
      </c>
      <c r="B56" s="308"/>
      <c r="C56" s="309"/>
      <c r="D56" s="371"/>
      <c r="E56" s="11"/>
      <c r="F56" s="145"/>
      <c r="G56" s="33"/>
      <c r="H56" s="145"/>
      <c r="I56" s="145"/>
      <c r="J56" s="33"/>
      <c r="K56" s="33"/>
      <c r="L56" s="159"/>
      <c r="M56" s="159"/>
      <c r="N56" s="148"/>
    </row>
    <row r="57" spans="1:14" s="3" customFormat="1" ht="15.75" x14ac:dyDescent="0.2">
      <c r="A57" s="38" t="s">
        <v>382</v>
      </c>
      <c r="B57" s="279"/>
      <c r="C57" s="280"/>
      <c r="D57" s="252"/>
      <c r="E57" s="27"/>
      <c r="F57" s="145"/>
      <c r="G57" s="33"/>
      <c r="H57" s="145"/>
      <c r="I57" s="145"/>
      <c r="J57" s="33"/>
      <c r="K57" s="33"/>
      <c r="L57" s="159"/>
      <c r="M57" s="159"/>
      <c r="N57" s="148"/>
    </row>
    <row r="58" spans="1:14" s="3" customFormat="1" ht="15.75" x14ac:dyDescent="0.2">
      <c r="A58" s="46" t="s">
        <v>383</v>
      </c>
      <c r="B58" s="281"/>
      <c r="C58" s="282"/>
      <c r="D58" s="253"/>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95"/>
      <c r="C62" s="695"/>
      <c r="D62" s="695"/>
      <c r="E62" s="297"/>
      <c r="F62" s="695"/>
      <c r="G62" s="695"/>
      <c r="H62" s="695"/>
      <c r="I62" s="297"/>
      <c r="J62" s="695"/>
      <c r="K62" s="695"/>
      <c r="L62" s="695"/>
      <c r="M62" s="297"/>
    </row>
    <row r="63" spans="1:14" x14ac:dyDescent="0.2">
      <c r="A63" s="144"/>
      <c r="B63" s="696" t="s">
        <v>0</v>
      </c>
      <c r="C63" s="697"/>
      <c r="D63" s="698"/>
      <c r="E63" s="298"/>
      <c r="F63" s="697" t="s">
        <v>1</v>
      </c>
      <c r="G63" s="697"/>
      <c r="H63" s="697"/>
      <c r="I63" s="302"/>
      <c r="J63" s="696" t="s">
        <v>2</v>
      </c>
      <c r="K63" s="697"/>
      <c r="L63" s="697"/>
      <c r="M63" s="302"/>
    </row>
    <row r="64" spans="1:14" x14ac:dyDescent="0.2">
      <c r="A64" s="140"/>
      <c r="B64" s="152" t="s">
        <v>422</v>
      </c>
      <c r="C64" s="152" t="s">
        <v>423</v>
      </c>
      <c r="D64" s="243" t="s">
        <v>3</v>
      </c>
      <c r="E64" s="303" t="s">
        <v>29</v>
      </c>
      <c r="F64" s="152" t="s">
        <v>422</v>
      </c>
      <c r="G64" s="152" t="s">
        <v>423</v>
      </c>
      <c r="H64" s="243" t="s">
        <v>3</v>
      </c>
      <c r="I64" s="303" t="s">
        <v>29</v>
      </c>
      <c r="J64" s="152" t="s">
        <v>422</v>
      </c>
      <c r="K64" s="152" t="s">
        <v>423</v>
      </c>
      <c r="L64" s="243" t="s">
        <v>3</v>
      </c>
      <c r="M64" s="162" t="s">
        <v>29</v>
      </c>
    </row>
    <row r="65" spans="1:14" x14ac:dyDescent="0.2">
      <c r="A65" s="666"/>
      <c r="B65" s="156"/>
      <c r="C65" s="156"/>
      <c r="D65" s="244" t="s">
        <v>4</v>
      </c>
      <c r="E65" s="156" t="s">
        <v>30</v>
      </c>
      <c r="F65" s="161"/>
      <c r="G65" s="161"/>
      <c r="H65" s="243" t="s">
        <v>4</v>
      </c>
      <c r="I65" s="156" t="s">
        <v>30</v>
      </c>
      <c r="J65" s="161"/>
      <c r="K65" s="205"/>
      <c r="L65" s="156" t="s">
        <v>4</v>
      </c>
      <c r="M65" s="156" t="s">
        <v>30</v>
      </c>
    </row>
    <row r="66" spans="1:14" ht="15.75" x14ac:dyDescent="0.2">
      <c r="A66" s="14" t="s">
        <v>23</v>
      </c>
      <c r="B66" s="350"/>
      <c r="C66" s="350"/>
      <c r="D66" s="347"/>
      <c r="E66" s="11"/>
      <c r="F66" s="349"/>
      <c r="G66" s="349"/>
      <c r="H66" s="347"/>
      <c r="I66" s="11"/>
      <c r="J66" s="307"/>
      <c r="K66" s="314"/>
      <c r="L66" s="371"/>
      <c r="M66" s="11"/>
    </row>
    <row r="67" spans="1:14" x14ac:dyDescent="0.2">
      <c r="A67" s="365" t="s">
        <v>9</v>
      </c>
      <c r="B67" s="44"/>
      <c r="C67" s="145"/>
      <c r="D67" s="166"/>
      <c r="E67" s="27"/>
      <c r="F67" s="232"/>
      <c r="G67" s="145"/>
      <c r="H67" s="166"/>
      <c r="I67" s="27"/>
      <c r="J67" s="285"/>
      <c r="K67" s="44"/>
      <c r="L67" s="252"/>
      <c r="M67" s="27"/>
    </row>
    <row r="68" spans="1:14" x14ac:dyDescent="0.2">
      <c r="A68" s="21" t="s">
        <v>10</v>
      </c>
      <c r="B68" s="290"/>
      <c r="C68" s="291"/>
      <c r="D68" s="166"/>
      <c r="E68" s="27"/>
      <c r="F68" s="290"/>
      <c r="G68" s="291"/>
      <c r="H68" s="166"/>
      <c r="I68" s="27"/>
      <c r="J68" s="285"/>
      <c r="K68" s="44"/>
      <c r="L68" s="252"/>
      <c r="M68" s="27"/>
    </row>
    <row r="69" spans="1:14" ht="15.75" x14ac:dyDescent="0.2">
      <c r="A69" s="294" t="s">
        <v>386</v>
      </c>
      <c r="B69" s="279"/>
      <c r="C69" s="279"/>
      <c r="D69" s="166"/>
      <c r="E69" s="363"/>
      <c r="F69" s="279"/>
      <c r="G69" s="279"/>
      <c r="H69" s="166"/>
      <c r="I69" s="363"/>
      <c r="J69" s="288"/>
      <c r="K69" s="288"/>
      <c r="L69" s="166"/>
      <c r="M69" s="23"/>
    </row>
    <row r="70" spans="1:14" x14ac:dyDescent="0.2">
      <c r="A70" s="294" t="s">
        <v>12</v>
      </c>
      <c r="B70" s="292"/>
      <c r="C70" s="293"/>
      <c r="D70" s="166"/>
      <c r="E70" s="363"/>
      <c r="F70" s="279"/>
      <c r="G70" s="279"/>
      <c r="H70" s="166"/>
      <c r="I70" s="363"/>
      <c r="J70" s="288"/>
      <c r="K70" s="288"/>
      <c r="L70" s="166"/>
      <c r="M70" s="23"/>
    </row>
    <row r="71" spans="1:14" x14ac:dyDescent="0.2">
      <c r="A71" s="294" t="s">
        <v>13</v>
      </c>
      <c r="B71" s="233"/>
      <c r="C71" s="287"/>
      <c r="D71" s="166"/>
      <c r="E71" s="363"/>
      <c r="F71" s="279"/>
      <c r="G71" s="279"/>
      <c r="H71" s="166"/>
      <c r="I71" s="363"/>
      <c r="J71" s="288"/>
      <c r="K71" s="288"/>
      <c r="L71" s="166"/>
      <c r="M71" s="23"/>
    </row>
    <row r="72" spans="1:14" ht="15.75" x14ac:dyDescent="0.2">
      <c r="A72" s="294" t="s">
        <v>387</v>
      </c>
      <c r="B72" s="279"/>
      <c r="C72" s="279"/>
      <c r="D72" s="166"/>
      <c r="E72" s="363"/>
      <c r="F72" s="279"/>
      <c r="G72" s="279"/>
      <c r="H72" s="166"/>
      <c r="I72" s="363"/>
      <c r="J72" s="288"/>
      <c r="K72" s="288"/>
      <c r="L72" s="166"/>
      <c r="M72" s="23"/>
    </row>
    <row r="73" spans="1:14" x14ac:dyDescent="0.2">
      <c r="A73" s="294" t="s">
        <v>12</v>
      </c>
      <c r="B73" s="233"/>
      <c r="C73" s="287"/>
      <c r="D73" s="166"/>
      <c r="E73" s="363"/>
      <c r="F73" s="279"/>
      <c r="G73" s="279"/>
      <c r="H73" s="166"/>
      <c r="I73" s="363"/>
      <c r="J73" s="288"/>
      <c r="K73" s="288"/>
      <c r="L73" s="166"/>
      <c r="M73" s="23"/>
    </row>
    <row r="74" spans="1:14" s="3" customFormat="1" x14ac:dyDescent="0.2">
      <c r="A74" s="294" t="s">
        <v>13</v>
      </c>
      <c r="B74" s="233"/>
      <c r="C74" s="287"/>
      <c r="D74" s="166"/>
      <c r="E74" s="363"/>
      <c r="F74" s="279"/>
      <c r="G74" s="279"/>
      <c r="H74" s="166"/>
      <c r="I74" s="363"/>
      <c r="J74" s="288"/>
      <c r="K74" s="288"/>
      <c r="L74" s="166"/>
      <c r="M74" s="23"/>
      <c r="N74" s="148"/>
    </row>
    <row r="75" spans="1:14" s="3" customFormat="1" x14ac:dyDescent="0.2">
      <c r="A75" s="21" t="s">
        <v>356</v>
      </c>
      <c r="B75" s="232"/>
      <c r="C75" s="145"/>
      <c r="D75" s="166"/>
      <c r="E75" s="27"/>
      <c r="F75" s="232"/>
      <c r="G75" s="145"/>
      <c r="H75" s="166"/>
      <c r="I75" s="27"/>
      <c r="J75" s="285"/>
      <c r="K75" s="44"/>
      <c r="L75" s="252"/>
      <c r="M75" s="27"/>
      <c r="N75" s="148"/>
    </row>
    <row r="76" spans="1:14" s="3" customFormat="1" x14ac:dyDescent="0.2">
      <c r="A76" s="21" t="s">
        <v>355</v>
      </c>
      <c r="B76" s="232"/>
      <c r="C76" s="145"/>
      <c r="D76" s="166"/>
      <c r="E76" s="27"/>
      <c r="F76" s="232"/>
      <c r="G76" s="145"/>
      <c r="H76" s="166"/>
      <c r="I76" s="27"/>
      <c r="J76" s="285"/>
      <c r="K76" s="44"/>
      <c r="L76" s="252"/>
      <c r="M76" s="27"/>
      <c r="N76" s="148"/>
    </row>
    <row r="77" spans="1:14" ht="15.75" x14ac:dyDescent="0.2">
      <c r="A77" s="21" t="s">
        <v>388</v>
      </c>
      <c r="B77" s="232"/>
      <c r="C77" s="232"/>
      <c r="D77" s="166"/>
      <c r="E77" s="27"/>
      <c r="F77" s="232"/>
      <c r="G77" s="145"/>
      <c r="H77" s="166"/>
      <c r="I77" s="27"/>
      <c r="J77" s="285"/>
      <c r="K77" s="44"/>
      <c r="L77" s="252"/>
      <c r="M77" s="27"/>
    </row>
    <row r="78" spans="1:14" x14ac:dyDescent="0.2">
      <c r="A78" s="21" t="s">
        <v>9</v>
      </c>
      <c r="B78" s="232"/>
      <c r="C78" s="145"/>
      <c r="D78" s="166"/>
      <c r="E78" s="27"/>
      <c r="F78" s="232"/>
      <c r="G78" s="145"/>
      <c r="H78" s="166"/>
      <c r="I78" s="27"/>
      <c r="J78" s="285"/>
      <c r="K78" s="44"/>
      <c r="L78" s="252"/>
      <c r="M78" s="27"/>
    </row>
    <row r="79" spans="1:14" x14ac:dyDescent="0.2">
      <c r="A79" s="21" t="s">
        <v>10</v>
      </c>
      <c r="B79" s="290"/>
      <c r="C79" s="291"/>
      <c r="D79" s="166"/>
      <c r="E79" s="27"/>
      <c r="F79" s="290"/>
      <c r="G79" s="291"/>
      <c r="H79" s="166"/>
      <c r="I79" s="27"/>
      <c r="J79" s="285"/>
      <c r="K79" s="44"/>
      <c r="L79" s="252"/>
      <c r="M79" s="27"/>
    </row>
    <row r="80" spans="1:14" ht="15.75" x14ac:dyDescent="0.2">
      <c r="A80" s="294" t="s">
        <v>386</v>
      </c>
      <c r="B80" s="279"/>
      <c r="C80" s="279"/>
      <c r="D80" s="166"/>
      <c r="E80" s="363"/>
      <c r="F80" s="279"/>
      <c r="G80" s="279"/>
      <c r="H80" s="166"/>
      <c r="I80" s="363"/>
      <c r="J80" s="288"/>
      <c r="K80" s="288"/>
      <c r="L80" s="166"/>
      <c r="M80" s="23"/>
    </row>
    <row r="81" spans="1:13" x14ac:dyDescent="0.2">
      <c r="A81" s="294" t="s">
        <v>12</v>
      </c>
      <c r="B81" s="233"/>
      <c r="C81" s="287"/>
      <c r="D81" s="166"/>
      <c r="E81" s="363"/>
      <c r="F81" s="279"/>
      <c r="G81" s="279"/>
      <c r="H81" s="166"/>
      <c r="I81" s="363"/>
      <c r="J81" s="288"/>
      <c r="K81" s="288"/>
      <c r="L81" s="166"/>
      <c r="M81" s="23"/>
    </row>
    <row r="82" spans="1:13" x14ac:dyDescent="0.2">
      <c r="A82" s="294" t="s">
        <v>13</v>
      </c>
      <c r="B82" s="233"/>
      <c r="C82" s="287"/>
      <c r="D82" s="166"/>
      <c r="E82" s="363"/>
      <c r="F82" s="279"/>
      <c r="G82" s="279"/>
      <c r="H82" s="166"/>
      <c r="I82" s="363"/>
      <c r="J82" s="288"/>
      <c r="K82" s="288"/>
      <c r="L82" s="166"/>
      <c r="M82" s="23"/>
    </row>
    <row r="83" spans="1:13" ht="15.75" x14ac:dyDescent="0.2">
      <c r="A83" s="294" t="s">
        <v>387</v>
      </c>
      <c r="B83" s="279"/>
      <c r="C83" s="279"/>
      <c r="D83" s="166"/>
      <c r="E83" s="363"/>
      <c r="F83" s="279"/>
      <c r="G83" s="279"/>
      <c r="H83" s="166"/>
      <c r="I83" s="363"/>
      <c r="J83" s="288"/>
      <c r="K83" s="288"/>
      <c r="L83" s="166"/>
      <c r="M83" s="23"/>
    </row>
    <row r="84" spans="1:13" x14ac:dyDescent="0.2">
      <c r="A84" s="294" t="s">
        <v>12</v>
      </c>
      <c r="B84" s="233"/>
      <c r="C84" s="287"/>
      <c r="D84" s="166"/>
      <c r="E84" s="363"/>
      <c r="F84" s="279"/>
      <c r="G84" s="279"/>
      <c r="H84" s="166"/>
      <c r="I84" s="363"/>
      <c r="J84" s="288"/>
      <c r="K84" s="288"/>
      <c r="L84" s="166"/>
      <c r="M84" s="23"/>
    </row>
    <row r="85" spans="1:13" x14ac:dyDescent="0.2">
      <c r="A85" s="294" t="s">
        <v>13</v>
      </c>
      <c r="B85" s="233"/>
      <c r="C85" s="287"/>
      <c r="D85" s="166"/>
      <c r="E85" s="363"/>
      <c r="F85" s="279"/>
      <c r="G85" s="279"/>
      <c r="H85" s="166"/>
      <c r="I85" s="363"/>
      <c r="J85" s="288"/>
      <c r="K85" s="288"/>
      <c r="L85" s="166"/>
      <c r="M85" s="23"/>
    </row>
    <row r="86" spans="1:13" ht="15.75" x14ac:dyDescent="0.2">
      <c r="A86" s="21" t="s">
        <v>389</v>
      </c>
      <c r="B86" s="232"/>
      <c r="C86" s="145"/>
      <c r="D86" s="166"/>
      <c r="E86" s="27"/>
      <c r="F86" s="232"/>
      <c r="G86" s="145"/>
      <c r="H86" s="166"/>
      <c r="I86" s="27"/>
      <c r="J86" s="285"/>
      <c r="K86" s="44"/>
      <c r="L86" s="252"/>
      <c r="M86" s="27"/>
    </row>
    <row r="87" spans="1:13" ht="15.75" x14ac:dyDescent="0.2">
      <c r="A87" s="13" t="s">
        <v>371</v>
      </c>
      <c r="B87" s="350"/>
      <c r="C87" s="350"/>
      <c r="D87" s="171"/>
      <c r="E87" s="11"/>
      <c r="F87" s="349"/>
      <c r="G87" s="349"/>
      <c r="H87" s="171"/>
      <c r="I87" s="11"/>
      <c r="J87" s="307"/>
      <c r="K87" s="234"/>
      <c r="L87" s="371"/>
      <c r="M87" s="11"/>
    </row>
    <row r="88" spans="1:13" x14ac:dyDescent="0.2">
      <c r="A88" s="21" t="s">
        <v>9</v>
      </c>
      <c r="B88" s="232"/>
      <c r="C88" s="145"/>
      <c r="D88" s="166"/>
      <c r="E88" s="27"/>
      <c r="F88" s="232"/>
      <c r="G88" s="145"/>
      <c r="H88" s="166"/>
      <c r="I88" s="27"/>
      <c r="J88" s="285"/>
      <c r="K88" s="44"/>
      <c r="L88" s="252"/>
      <c r="M88" s="27"/>
    </row>
    <row r="89" spans="1:13" x14ac:dyDescent="0.2">
      <c r="A89" s="21" t="s">
        <v>10</v>
      </c>
      <c r="B89" s="232"/>
      <c r="C89" s="145"/>
      <c r="D89" s="166"/>
      <c r="E89" s="27"/>
      <c r="F89" s="232"/>
      <c r="G89" s="145"/>
      <c r="H89" s="166"/>
      <c r="I89" s="27"/>
      <c r="J89" s="285"/>
      <c r="K89" s="44"/>
      <c r="L89" s="252"/>
      <c r="M89" s="27"/>
    </row>
    <row r="90" spans="1:13" ht="15.75" x14ac:dyDescent="0.2">
      <c r="A90" s="294" t="s">
        <v>386</v>
      </c>
      <c r="B90" s="279"/>
      <c r="C90" s="279"/>
      <c r="D90" s="166"/>
      <c r="E90" s="363"/>
      <c r="F90" s="279"/>
      <c r="G90" s="279"/>
      <c r="H90" s="166"/>
      <c r="I90" s="363"/>
      <c r="J90" s="288"/>
      <c r="K90" s="288"/>
      <c r="L90" s="166"/>
      <c r="M90" s="23"/>
    </row>
    <row r="91" spans="1:13" x14ac:dyDescent="0.2">
      <c r="A91" s="294" t="s">
        <v>12</v>
      </c>
      <c r="B91" s="233"/>
      <c r="C91" s="287"/>
      <c r="D91" s="166"/>
      <c r="E91" s="363"/>
      <c r="F91" s="279"/>
      <c r="G91" s="279"/>
      <c r="H91" s="166"/>
      <c r="I91" s="363"/>
      <c r="J91" s="288"/>
      <c r="K91" s="288"/>
      <c r="L91" s="166"/>
      <c r="M91" s="23"/>
    </row>
    <row r="92" spans="1:13" x14ac:dyDescent="0.2">
      <c r="A92" s="294" t="s">
        <v>13</v>
      </c>
      <c r="B92" s="233"/>
      <c r="C92" s="287"/>
      <c r="D92" s="166"/>
      <c r="E92" s="363"/>
      <c r="F92" s="279"/>
      <c r="G92" s="279"/>
      <c r="H92" s="166"/>
      <c r="I92" s="363"/>
      <c r="J92" s="288"/>
      <c r="K92" s="288"/>
      <c r="L92" s="166"/>
      <c r="M92" s="23"/>
    </row>
    <row r="93" spans="1:13" ht="15.75" x14ac:dyDescent="0.2">
      <c r="A93" s="294" t="s">
        <v>387</v>
      </c>
      <c r="B93" s="279"/>
      <c r="C93" s="279"/>
      <c r="D93" s="166"/>
      <c r="E93" s="363"/>
      <c r="F93" s="279"/>
      <c r="G93" s="279"/>
      <c r="H93" s="166"/>
      <c r="I93" s="363"/>
      <c r="J93" s="288"/>
      <c r="K93" s="288"/>
      <c r="L93" s="166"/>
      <c r="M93" s="23"/>
    </row>
    <row r="94" spans="1:13" x14ac:dyDescent="0.2">
      <c r="A94" s="294" t="s">
        <v>12</v>
      </c>
      <c r="B94" s="233"/>
      <c r="C94" s="287"/>
      <c r="D94" s="166"/>
      <c r="E94" s="363"/>
      <c r="F94" s="279"/>
      <c r="G94" s="279"/>
      <c r="H94" s="166"/>
      <c r="I94" s="363"/>
      <c r="J94" s="288"/>
      <c r="K94" s="288"/>
      <c r="L94" s="166"/>
      <c r="M94" s="23"/>
    </row>
    <row r="95" spans="1:13" x14ac:dyDescent="0.2">
      <c r="A95" s="294" t="s">
        <v>13</v>
      </c>
      <c r="B95" s="233"/>
      <c r="C95" s="287"/>
      <c r="D95" s="166"/>
      <c r="E95" s="363"/>
      <c r="F95" s="279"/>
      <c r="G95" s="279"/>
      <c r="H95" s="166"/>
      <c r="I95" s="363"/>
      <c r="J95" s="288"/>
      <c r="K95" s="288"/>
      <c r="L95" s="166"/>
      <c r="M95" s="23"/>
    </row>
    <row r="96" spans="1:13" x14ac:dyDescent="0.2">
      <c r="A96" s="21" t="s">
        <v>354</v>
      </c>
      <c r="B96" s="232"/>
      <c r="C96" s="145"/>
      <c r="D96" s="166"/>
      <c r="E96" s="27"/>
      <c r="F96" s="232"/>
      <c r="G96" s="145"/>
      <c r="H96" s="166"/>
      <c r="I96" s="27"/>
      <c r="J96" s="285"/>
      <c r="K96" s="44"/>
      <c r="L96" s="252"/>
      <c r="M96" s="27"/>
    </row>
    <row r="97" spans="1:13" x14ac:dyDescent="0.2">
      <c r="A97" s="21" t="s">
        <v>353</v>
      </c>
      <c r="B97" s="232"/>
      <c r="C97" s="145"/>
      <c r="D97" s="166"/>
      <c r="E97" s="27"/>
      <c r="F97" s="232"/>
      <c r="G97" s="145"/>
      <c r="H97" s="166"/>
      <c r="I97" s="27"/>
      <c r="J97" s="285"/>
      <c r="K97" s="44"/>
      <c r="L97" s="252"/>
      <c r="M97" s="27"/>
    </row>
    <row r="98" spans="1:13" ht="15.75" x14ac:dyDescent="0.2">
      <c r="A98" s="21" t="s">
        <v>388</v>
      </c>
      <c r="B98" s="232"/>
      <c r="C98" s="232"/>
      <c r="D98" s="166"/>
      <c r="E98" s="27"/>
      <c r="F98" s="290"/>
      <c r="G98" s="290"/>
      <c r="H98" s="166"/>
      <c r="I98" s="27"/>
      <c r="J98" s="285"/>
      <c r="K98" s="44"/>
      <c r="L98" s="252"/>
      <c r="M98" s="27"/>
    </row>
    <row r="99" spans="1:13" x14ac:dyDescent="0.2">
      <c r="A99" s="21" t="s">
        <v>9</v>
      </c>
      <c r="B99" s="290"/>
      <c r="C99" s="291"/>
      <c r="D99" s="166"/>
      <c r="E99" s="27"/>
      <c r="F99" s="232"/>
      <c r="G99" s="145"/>
      <c r="H99" s="166"/>
      <c r="I99" s="27"/>
      <c r="J99" s="285"/>
      <c r="K99" s="44"/>
      <c r="L99" s="252"/>
      <c r="M99" s="27"/>
    </row>
    <row r="100" spans="1:13" x14ac:dyDescent="0.2">
      <c r="A100" s="21" t="s">
        <v>10</v>
      </c>
      <c r="B100" s="290"/>
      <c r="C100" s="291"/>
      <c r="D100" s="166"/>
      <c r="E100" s="27"/>
      <c r="F100" s="232"/>
      <c r="G100" s="232"/>
      <c r="H100" s="166"/>
      <c r="I100" s="27"/>
      <c r="J100" s="285"/>
      <c r="K100" s="44"/>
      <c r="L100" s="252"/>
      <c r="M100" s="27"/>
    </row>
    <row r="101" spans="1:13" ht="15.75" x14ac:dyDescent="0.2">
      <c r="A101" s="294" t="s">
        <v>386</v>
      </c>
      <c r="B101" s="279"/>
      <c r="C101" s="279"/>
      <c r="D101" s="166"/>
      <c r="E101" s="363"/>
      <c r="F101" s="279"/>
      <c r="G101" s="279"/>
      <c r="H101" s="166"/>
      <c r="I101" s="363"/>
      <c r="J101" s="288"/>
      <c r="K101" s="288"/>
      <c r="L101" s="166"/>
      <c r="M101" s="23"/>
    </row>
    <row r="102" spans="1:13" x14ac:dyDescent="0.2">
      <c r="A102" s="294" t="s">
        <v>12</v>
      </c>
      <c r="B102" s="233"/>
      <c r="C102" s="287"/>
      <c r="D102" s="166"/>
      <c r="E102" s="363"/>
      <c r="F102" s="279"/>
      <c r="G102" s="279"/>
      <c r="H102" s="166"/>
      <c r="I102" s="363"/>
      <c r="J102" s="288"/>
      <c r="K102" s="288"/>
      <c r="L102" s="166"/>
      <c r="M102" s="23"/>
    </row>
    <row r="103" spans="1:13" x14ac:dyDescent="0.2">
      <c r="A103" s="294" t="s">
        <v>13</v>
      </c>
      <c r="B103" s="233"/>
      <c r="C103" s="287"/>
      <c r="D103" s="166"/>
      <c r="E103" s="363"/>
      <c r="F103" s="279"/>
      <c r="G103" s="279"/>
      <c r="H103" s="166"/>
      <c r="I103" s="363"/>
      <c r="J103" s="288"/>
      <c r="K103" s="288"/>
      <c r="L103" s="166"/>
      <c r="M103" s="23"/>
    </row>
    <row r="104" spans="1:13" ht="15.75" x14ac:dyDescent="0.2">
      <c r="A104" s="294" t="s">
        <v>387</v>
      </c>
      <c r="B104" s="279"/>
      <c r="C104" s="279"/>
      <c r="D104" s="166"/>
      <c r="E104" s="363"/>
      <c r="F104" s="279"/>
      <c r="G104" s="279"/>
      <c r="H104" s="166"/>
      <c r="I104" s="363"/>
      <c r="J104" s="288"/>
      <c r="K104" s="288"/>
      <c r="L104" s="166"/>
      <c r="M104" s="23"/>
    </row>
    <row r="105" spans="1:13" x14ac:dyDescent="0.2">
      <c r="A105" s="294" t="s">
        <v>12</v>
      </c>
      <c r="B105" s="233"/>
      <c r="C105" s="287"/>
      <c r="D105" s="166"/>
      <c r="E105" s="363"/>
      <c r="F105" s="279"/>
      <c r="G105" s="279"/>
      <c r="H105" s="166"/>
      <c r="I105" s="363"/>
      <c r="J105" s="288"/>
      <c r="K105" s="288"/>
      <c r="L105" s="166"/>
      <c r="M105" s="23"/>
    </row>
    <row r="106" spans="1:13" x14ac:dyDescent="0.2">
      <c r="A106" s="294" t="s">
        <v>13</v>
      </c>
      <c r="B106" s="233"/>
      <c r="C106" s="287"/>
      <c r="D106" s="166"/>
      <c r="E106" s="363"/>
      <c r="F106" s="279"/>
      <c r="G106" s="279"/>
      <c r="H106" s="166"/>
      <c r="I106" s="363"/>
      <c r="J106" s="288"/>
      <c r="K106" s="288"/>
      <c r="L106" s="166"/>
      <c r="M106" s="23"/>
    </row>
    <row r="107" spans="1:13" ht="15.75" x14ac:dyDescent="0.2">
      <c r="A107" s="21" t="s">
        <v>389</v>
      </c>
      <c r="B107" s="232"/>
      <c r="C107" s="145"/>
      <c r="D107" s="166"/>
      <c r="E107" s="27"/>
      <c r="F107" s="232"/>
      <c r="G107" s="145"/>
      <c r="H107" s="166"/>
      <c r="I107" s="27"/>
      <c r="J107" s="285"/>
      <c r="K107" s="44"/>
      <c r="L107" s="252"/>
      <c r="M107" s="27"/>
    </row>
    <row r="108" spans="1:13" ht="15.75" x14ac:dyDescent="0.2">
      <c r="A108" s="21" t="s">
        <v>390</v>
      </c>
      <c r="B108" s="232"/>
      <c r="C108" s="232"/>
      <c r="D108" s="166"/>
      <c r="E108" s="27"/>
      <c r="F108" s="232"/>
      <c r="G108" s="232"/>
      <c r="H108" s="166"/>
      <c r="I108" s="27"/>
      <c r="J108" s="285"/>
      <c r="K108" s="44"/>
      <c r="L108" s="252"/>
      <c r="M108" s="27"/>
    </row>
    <row r="109" spans="1:13" ht="15.75" x14ac:dyDescent="0.2">
      <c r="A109" s="21" t="s">
        <v>391</v>
      </c>
      <c r="B109" s="232"/>
      <c r="C109" s="232"/>
      <c r="D109" s="166"/>
      <c r="E109" s="27"/>
      <c r="F109" s="232"/>
      <c r="G109" s="232"/>
      <c r="H109" s="166"/>
      <c r="I109" s="27"/>
      <c r="J109" s="285"/>
      <c r="K109" s="44"/>
      <c r="L109" s="252"/>
      <c r="M109" s="27"/>
    </row>
    <row r="110" spans="1:13" ht="15.75" x14ac:dyDescent="0.2">
      <c r="A110" s="21" t="s">
        <v>392</v>
      </c>
      <c r="B110" s="232"/>
      <c r="C110" s="232"/>
      <c r="D110" s="166"/>
      <c r="E110" s="27"/>
      <c r="F110" s="232"/>
      <c r="G110" s="232"/>
      <c r="H110" s="166"/>
      <c r="I110" s="27"/>
      <c r="J110" s="285"/>
      <c r="K110" s="44"/>
      <c r="L110" s="252"/>
      <c r="M110" s="27"/>
    </row>
    <row r="111" spans="1:13" ht="15.75" x14ac:dyDescent="0.2">
      <c r="A111" s="13" t="s">
        <v>372</v>
      </c>
      <c r="B111" s="306"/>
      <c r="C111" s="159"/>
      <c r="D111" s="171"/>
      <c r="E111" s="11"/>
      <c r="F111" s="306"/>
      <c r="G111" s="159"/>
      <c r="H111" s="171"/>
      <c r="I111" s="11"/>
      <c r="J111" s="307"/>
      <c r="K111" s="234"/>
      <c r="L111" s="371"/>
      <c r="M111" s="11"/>
    </row>
    <row r="112" spans="1:13" x14ac:dyDescent="0.2">
      <c r="A112" s="21" t="s">
        <v>9</v>
      </c>
      <c r="B112" s="232"/>
      <c r="C112" s="145"/>
      <c r="D112" s="166"/>
      <c r="E112" s="27"/>
      <c r="F112" s="232"/>
      <c r="G112" s="145"/>
      <c r="H112" s="166"/>
      <c r="I112" s="27"/>
      <c r="J112" s="285"/>
      <c r="K112" s="44"/>
      <c r="L112" s="252"/>
      <c r="M112" s="27"/>
    </row>
    <row r="113" spans="1:14" x14ac:dyDescent="0.2">
      <c r="A113" s="21" t="s">
        <v>10</v>
      </c>
      <c r="B113" s="232"/>
      <c r="C113" s="145"/>
      <c r="D113" s="166"/>
      <c r="E113" s="27"/>
      <c r="F113" s="232"/>
      <c r="G113" s="145"/>
      <c r="H113" s="166"/>
      <c r="I113" s="27"/>
      <c r="J113" s="285"/>
      <c r="K113" s="44"/>
      <c r="L113" s="252"/>
      <c r="M113" s="27"/>
    </row>
    <row r="114" spans="1:14" x14ac:dyDescent="0.2">
      <c r="A114" s="21" t="s">
        <v>26</v>
      </c>
      <c r="B114" s="232"/>
      <c r="C114" s="145"/>
      <c r="D114" s="166"/>
      <c r="E114" s="27"/>
      <c r="F114" s="232"/>
      <c r="G114" s="145"/>
      <c r="H114" s="166"/>
      <c r="I114" s="27"/>
      <c r="J114" s="285"/>
      <c r="K114" s="44"/>
      <c r="L114" s="252"/>
      <c r="M114" s="27"/>
    </row>
    <row r="115" spans="1:14" x14ac:dyDescent="0.2">
      <c r="A115" s="294" t="s">
        <v>15</v>
      </c>
      <c r="B115" s="279"/>
      <c r="C115" s="279"/>
      <c r="D115" s="166"/>
      <c r="E115" s="363"/>
      <c r="F115" s="279"/>
      <c r="G115" s="279"/>
      <c r="H115" s="166"/>
      <c r="I115" s="363"/>
      <c r="J115" s="288"/>
      <c r="K115" s="288"/>
      <c r="L115" s="166"/>
      <c r="M115" s="23"/>
    </row>
    <row r="116" spans="1:14" ht="15.75" x14ac:dyDescent="0.2">
      <c r="A116" s="21" t="s">
        <v>393</v>
      </c>
      <c r="B116" s="232"/>
      <c r="C116" s="232"/>
      <c r="D116" s="166"/>
      <c r="E116" s="27"/>
      <c r="F116" s="232"/>
      <c r="G116" s="232"/>
      <c r="H116" s="166"/>
      <c r="I116" s="27"/>
      <c r="J116" s="285"/>
      <c r="K116" s="44"/>
      <c r="L116" s="252"/>
      <c r="M116" s="27"/>
    </row>
    <row r="117" spans="1:14" ht="15.75" x14ac:dyDescent="0.2">
      <c r="A117" s="21" t="s">
        <v>394</v>
      </c>
      <c r="B117" s="232"/>
      <c r="C117" s="232"/>
      <c r="D117" s="166"/>
      <c r="E117" s="27"/>
      <c r="F117" s="232"/>
      <c r="G117" s="232"/>
      <c r="H117" s="166"/>
      <c r="I117" s="27"/>
      <c r="J117" s="285"/>
      <c r="K117" s="44"/>
      <c r="L117" s="252"/>
      <c r="M117" s="27"/>
    </row>
    <row r="118" spans="1:14" ht="15.75" x14ac:dyDescent="0.2">
      <c r="A118" s="21" t="s">
        <v>392</v>
      </c>
      <c r="B118" s="232"/>
      <c r="C118" s="232"/>
      <c r="D118" s="166"/>
      <c r="E118" s="27"/>
      <c r="F118" s="232"/>
      <c r="G118" s="232"/>
      <c r="H118" s="166"/>
      <c r="I118" s="27"/>
      <c r="J118" s="285"/>
      <c r="K118" s="44"/>
      <c r="L118" s="252"/>
      <c r="M118" s="27"/>
    </row>
    <row r="119" spans="1:14" ht="15.75" x14ac:dyDescent="0.2">
      <c r="A119" s="13" t="s">
        <v>373</v>
      </c>
      <c r="B119" s="306"/>
      <c r="C119" s="159"/>
      <c r="D119" s="171"/>
      <c r="E119" s="11"/>
      <c r="F119" s="306"/>
      <c r="G119" s="159"/>
      <c r="H119" s="171"/>
      <c r="I119" s="11"/>
      <c r="J119" s="307"/>
      <c r="K119" s="234"/>
      <c r="L119" s="371"/>
      <c r="M119" s="11"/>
    </row>
    <row r="120" spans="1:14" x14ac:dyDescent="0.2">
      <c r="A120" s="21" t="s">
        <v>9</v>
      </c>
      <c r="B120" s="232"/>
      <c r="C120" s="145"/>
      <c r="D120" s="166"/>
      <c r="E120" s="27"/>
      <c r="F120" s="232"/>
      <c r="G120" s="145"/>
      <c r="H120" s="166"/>
      <c r="I120" s="27"/>
      <c r="J120" s="285"/>
      <c r="K120" s="44"/>
      <c r="L120" s="252"/>
      <c r="M120" s="27"/>
    </row>
    <row r="121" spans="1:14" x14ac:dyDescent="0.2">
      <c r="A121" s="21" t="s">
        <v>10</v>
      </c>
      <c r="B121" s="232"/>
      <c r="C121" s="145"/>
      <c r="D121" s="166"/>
      <c r="E121" s="27"/>
      <c r="F121" s="232"/>
      <c r="G121" s="145"/>
      <c r="H121" s="166"/>
      <c r="I121" s="27"/>
      <c r="J121" s="285"/>
      <c r="K121" s="44"/>
      <c r="L121" s="252"/>
      <c r="M121" s="27"/>
    </row>
    <row r="122" spans="1:14" x14ac:dyDescent="0.2">
      <c r="A122" s="21" t="s">
        <v>26</v>
      </c>
      <c r="B122" s="232"/>
      <c r="C122" s="145"/>
      <c r="D122" s="166"/>
      <c r="E122" s="27"/>
      <c r="F122" s="232"/>
      <c r="G122" s="145"/>
      <c r="H122" s="166"/>
      <c r="I122" s="27"/>
      <c r="J122" s="285"/>
      <c r="K122" s="44"/>
      <c r="L122" s="252"/>
      <c r="M122" s="27"/>
    </row>
    <row r="123" spans="1:14" x14ac:dyDescent="0.2">
      <c r="A123" s="294" t="s">
        <v>14</v>
      </c>
      <c r="B123" s="279"/>
      <c r="C123" s="279"/>
      <c r="D123" s="166"/>
      <c r="E123" s="363"/>
      <c r="F123" s="279"/>
      <c r="G123" s="279"/>
      <c r="H123" s="166"/>
      <c r="I123" s="363"/>
      <c r="J123" s="288"/>
      <c r="K123" s="288"/>
      <c r="L123" s="166"/>
      <c r="M123" s="23"/>
    </row>
    <row r="124" spans="1:14" ht="15.75" x14ac:dyDescent="0.2">
      <c r="A124" s="21" t="s">
        <v>399</v>
      </c>
      <c r="B124" s="232"/>
      <c r="C124" s="232"/>
      <c r="D124" s="166"/>
      <c r="E124" s="27"/>
      <c r="F124" s="232"/>
      <c r="G124" s="232"/>
      <c r="H124" s="166"/>
      <c r="I124" s="27"/>
      <c r="J124" s="285"/>
      <c r="K124" s="44"/>
      <c r="L124" s="252"/>
      <c r="M124" s="27"/>
    </row>
    <row r="125" spans="1:14" ht="15.75" x14ac:dyDescent="0.2">
      <c r="A125" s="21" t="s">
        <v>391</v>
      </c>
      <c r="B125" s="232"/>
      <c r="C125" s="232"/>
      <c r="D125" s="166"/>
      <c r="E125" s="27"/>
      <c r="F125" s="232"/>
      <c r="G125" s="232"/>
      <c r="H125" s="166"/>
      <c r="I125" s="27"/>
      <c r="J125" s="285"/>
      <c r="K125" s="44"/>
      <c r="L125" s="252"/>
      <c r="M125" s="27"/>
    </row>
    <row r="126" spans="1:14" ht="15.75" x14ac:dyDescent="0.2">
      <c r="A126" s="10" t="s">
        <v>392</v>
      </c>
      <c r="B126" s="45"/>
      <c r="C126" s="45"/>
      <c r="D126" s="167"/>
      <c r="E126" s="364"/>
      <c r="F126" s="45"/>
      <c r="G126" s="45"/>
      <c r="H126" s="167"/>
      <c r="I126" s="22"/>
      <c r="J126" s="286"/>
      <c r="K126" s="45"/>
      <c r="L126" s="253"/>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95"/>
      <c r="C130" s="695"/>
      <c r="D130" s="695"/>
      <c r="E130" s="297"/>
      <c r="F130" s="695"/>
      <c r="G130" s="695"/>
      <c r="H130" s="695"/>
      <c r="I130" s="297"/>
      <c r="J130" s="695"/>
      <c r="K130" s="695"/>
      <c r="L130" s="695"/>
      <c r="M130" s="297"/>
    </row>
    <row r="131" spans="1:14" s="3" customFormat="1" x14ac:dyDescent="0.2">
      <c r="A131" s="144"/>
      <c r="B131" s="696" t="s">
        <v>0</v>
      </c>
      <c r="C131" s="697"/>
      <c r="D131" s="697"/>
      <c r="E131" s="299"/>
      <c r="F131" s="696" t="s">
        <v>1</v>
      </c>
      <c r="G131" s="697"/>
      <c r="H131" s="697"/>
      <c r="I131" s="302"/>
      <c r="J131" s="696" t="s">
        <v>2</v>
      </c>
      <c r="K131" s="697"/>
      <c r="L131" s="697"/>
      <c r="M131" s="302"/>
      <c r="N131" s="148"/>
    </row>
    <row r="132" spans="1:14" s="3" customFormat="1" x14ac:dyDescent="0.2">
      <c r="A132" s="140"/>
      <c r="B132" s="152" t="s">
        <v>422</v>
      </c>
      <c r="C132" s="152" t="s">
        <v>423</v>
      </c>
      <c r="D132" s="243" t="s">
        <v>3</v>
      </c>
      <c r="E132" s="303" t="s">
        <v>29</v>
      </c>
      <c r="F132" s="152" t="s">
        <v>422</v>
      </c>
      <c r="G132" s="152" t="s">
        <v>423</v>
      </c>
      <c r="H132" s="205" t="s">
        <v>3</v>
      </c>
      <c r="I132" s="162" t="s">
        <v>29</v>
      </c>
      <c r="J132" s="152" t="s">
        <v>422</v>
      </c>
      <c r="K132" s="152" t="s">
        <v>423</v>
      </c>
      <c r="L132" s="244" t="s">
        <v>3</v>
      </c>
      <c r="M132" s="162" t="s">
        <v>29</v>
      </c>
      <c r="N132" s="148"/>
    </row>
    <row r="133" spans="1:14" s="3" customFormat="1" x14ac:dyDescent="0.2">
      <c r="A133" s="666"/>
      <c r="B133" s="156"/>
      <c r="C133" s="156"/>
      <c r="D133" s="244" t="s">
        <v>4</v>
      </c>
      <c r="E133" s="156" t="s">
        <v>30</v>
      </c>
      <c r="F133" s="161"/>
      <c r="G133" s="161"/>
      <c r="H133" s="205" t="s">
        <v>4</v>
      </c>
      <c r="I133" s="156" t="s">
        <v>30</v>
      </c>
      <c r="J133" s="156"/>
      <c r="K133" s="156"/>
      <c r="L133" s="150" t="s">
        <v>4</v>
      </c>
      <c r="M133" s="156" t="s">
        <v>30</v>
      </c>
      <c r="N133" s="148"/>
    </row>
    <row r="134" spans="1:14" s="3" customFormat="1" ht="15.75" x14ac:dyDescent="0.2">
      <c r="A134" s="14" t="s">
        <v>395</v>
      </c>
      <c r="B134" s="234"/>
      <c r="C134" s="307"/>
      <c r="D134" s="347"/>
      <c r="E134" s="11"/>
      <c r="F134" s="314"/>
      <c r="G134" s="315"/>
      <c r="H134" s="374"/>
      <c r="I134" s="24"/>
      <c r="J134" s="316"/>
      <c r="K134" s="316"/>
      <c r="L134" s="370"/>
      <c r="M134" s="11"/>
      <c r="N134" s="148"/>
    </row>
    <row r="135" spans="1:14" s="3" customFormat="1" ht="15.75" x14ac:dyDescent="0.2">
      <c r="A135" s="13" t="s">
        <v>400</v>
      </c>
      <c r="B135" s="234"/>
      <c r="C135" s="307"/>
      <c r="D135" s="171"/>
      <c r="E135" s="11"/>
      <c r="F135" s="234"/>
      <c r="G135" s="307"/>
      <c r="H135" s="375"/>
      <c r="I135" s="24"/>
      <c r="J135" s="306"/>
      <c r="K135" s="306"/>
      <c r="L135" s="371"/>
      <c r="M135" s="11"/>
      <c r="N135" s="148"/>
    </row>
    <row r="136" spans="1:14" s="3" customFormat="1" ht="15.75" x14ac:dyDescent="0.2">
      <c r="A136" s="13" t="s">
        <v>397</v>
      </c>
      <c r="B136" s="234"/>
      <c r="C136" s="307"/>
      <c r="D136" s="171"/>
      <c r="E136" s="11"/>
      <c r="F136" s="234"/>
      <c r="G136" s="307"/>
      <c r="H136" s="375"/>
      <c r="I136" s="24"/>
      <c r="J136" s="306"/>
      <c r="K136" s="306"/>
      <c r="L136" s="371"/>
      <c r="M136" s="11"/>
      <c r="N136" s="148"/>
    </row>
    <row r="137" spans="1:14" s="3" customFormat="1" ht="15.75" x14ac:dyDescent="0.2">
      <c r="A137" s="41" t="s">
        <v>398</v>
      </c>
      <c r="B137" s="274"/>
      <c r="C137" s="313"/>
      <c r="D137" s="169"/>
      <c r="E137" s="9"/>
      <c r="F137" s="274"/>
      <c r="G137" s="313"/>
      <c r="H137" s="376"/>
      <c r="I137" s="36"/>
      <c r="J137" s="312"/>
      <c r="K137" s="312"/>
      <c r="L137" s="372"/>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868" priority="132">
      <formula>kvartal &lt; 4</formula>
    </cfRule>
  </conditionalFormatting>
  <conditionalFormatting sqref="B69">
    <cfRule type="expression" dxfId="867" priority="100">
      <formula>kvartal &lt; 4</formula>
    </cfRule>
  </conditionalFormatting>
  <conditionalFormatting sqref="C69">
    <cfRule type="expression" dxfId="866" priority="99">
      <formula>kvartal &lt; 4</formula>
    </cfRule>
  </conditionalFormatting>
  <conditionalFormatting sqref="B72">
    <cfRule type="expression" dxfId="865" priority="98">
      <formula>kvartal &lt; 4</formula>
    </cfRule>
  </conditionalFormatting>
  <conditionalFormatting sqref="C72">
    <cfRule type="expression" dxfId="864" priority="97">
      <formula>kvartal &lt; 4</formula>
    </cfRule>
  </conditionalFormatting>
  <conditionalFormatting sqref="B80">
    <cfRule type="expression" dxfId="863" priority="96">
      <formula>kvartal &lt; 4</formula>
    </cfRule>
  </conditionalFormatting>
  <conditionalFormatting sqref="C80">
    <cfRule type="expression" dxfId="862" priority="95">
      <formula>kvartal &lt; 4</formula>
    </cfRule>
  </conditionalFormatting>
  <conditionalFormatting sqref="B83">
    <cfRule type="expression" dxfId="861" priority="94">
      <formula>kvartal &lt; 4</formula>
    </cfRule>
  </conditionalFormatting>
  <conditionalFormatting sqref="C83">
    <cfRule type="expression" dxfId="860" priority="93">
      <formula>kvartal &lt; 4</formula>
    </cfRule>
  </conditionalFormatting>
  <conditionalFormatting sqref="B90">
    <cfRule type="expression" dxfId="859" priority="84">
      <formula>kvartal &lt; 4</formula>
    </cfRule>
  </conditionalFormatting>
  <conditionalFormatting sqref="C90">
    <cfRule type="expression" dxfId="858" priority="83">
      <formula>kvartal &lt; 4</formula>
    </cfRule>
  </conditionalFormatting>
  <conditionalFormatting sqref="B93">
    <cfRule type="expression" dxfId="857" priority="82">
      <formula>kvartal &lt; 4</formula>
    </cfRule>
  </conditionalFormatting>
  <conditionalFormatting sqref="C93">
    <cfRule type="expression" dxfId="856" priority="81">
      <formula>kvartal &lt; 4</formula>
    </cfRule>
  </conditionalFormatting>
  <conditionalFormatting sqref="B101">
    <cfRule type="expression" dxfId="855" priority="80">
      <formula>kvartal &lt; 4</formula>
    </cfRule>
  </conditionalFormatting>
  <conditionalFormatting sqref="C101">
    <cfRule type="expression" dxfId="854" priority="79">
      <formula>kvartal &lt; 4</formula>
    </cfRule>
  </conditionalFormatting>
  <conditionalFormatting sqref="B104">
    <cfRule type="expression" dxfId="853" priority="78">
      <formula>kvartal &lt; 4</formula>
    </cfRule>
  </conditionalFormatting>
  <conditionalFormatting sqref="C104">
    <cfRule type="expression" dxfId="852" priority="77">
      <formula>kvartal &lt; 4</formula>
    </cfRule>
  </conditionalFormatting>
  <conditionalFormatting sqref="B115">
    <cfRule type="expression" dxfId="851" priority="76">
      <formula>kvartal &lt; 4</formula>
    </cfRule>
  </conditionalFormatting>
  <conditionalFormatting sqref="C115">
    <cfRule type="expression" dxfId="850" priority="75">
      <formula>kvartal &lt; 4</formula>
    </cfRule>
  </conditionalFormatting>
  <conditionalFormatting sqref="B123">
    <cfRule type="expression" dxfId="849" priority="74">
      <formula>kvartal &lt; 4</formula>
    </cfRule>
  </conditionalFormatting>
  <conditionalFormatting sqref="C123">
    <cfRule type="expression" dxfId="848" priority="73">
      <formula>kvartal &lt; 4</formula>
    </cfRule>
  </conditionalFormatting>
  <conditionalFormatting sqref="F70">
    <cfRule type="expression" dxfId="847" priority="72">
      <formula>kvartal &lt; 4</formula>
    </cfRule>
  </conditionalFormatting>
  <conditionalFormatting sqref="G70">
    <cfRule type="expression" dxfId="846" priority="71">
      <formula>kvartal &lt; 4</formula>
    </cfRule>
  </conditionalFormatting>
  <conditionalFormatting sqref="F71:G71">
    <cfRule type="expression" dxfId="845" priority="70">
      <formula>kvartal &lt; 4</formula>
    </cfRule>
  </conditionalFormatting>
  <conditionalFormatting sqref="F73:G74">
    <cfRule type="expression" dxfId="844" priority="69">
      <formula>kvartal &lt; 4</formula>
    </cfRule>
  </conditionalFormatting>
  <conditionalFormatting sqref="F81:G82">
    <cfRule type="expression" dxfId="843" priority="68">
      <formula>kvartal &lt; 4</formula>
    </cfRule>
  </conditionalFormatting>
  <conditionalFormatting sqref="F84:G85">
    <cfRule type="expression" dxfId="842" priority="67">
      <formula>kvartal &lt; 4</formula>
    </cfRule>
  </conditionalFormatting>
  <conditionalFormatting sqref="F91:G92">
    <cfRule type="expression" dxfId="841" priority="62">
      <formula>kvartal &lt; 4</formula>
    </cfRule>
  </conditionalFormatting>
  <conditionalFormatting sqref="F94:G95">
    <cfRule type="expression" dxfId="840" priority="61">
      <formula>kvartal &lt; 4</formula>
    </cfRule>
  </conditionalFormatting>
  <conditionalFormatting sqref="F102:G103">
    <cfRule type="expression" dxfId="839" priority="60">
      <formula>kvartal &lt; 4</formula>
    </cfRule>
  </conditionalFormatting>
  <conditionalFormatting sqref="F105:G106">
    <cfRule type="expression" dxfId="838" priority="59">
      <formula>kvartal &lt; 4</formula>
    </cfRule>
  </conditionalFormatting>
  <conditionalFormatting sqref="F115">
    <cfRule type="expression" dxfId="837" priority="58">
      <formula>kvartal &lt; 4</formula>
    </cfRule>
  </conditionalFormatting>
  <conditionalFormatting sqref="G115">
    <cfRule type="expression" dxfId="836" priority="57">
      <formula>kvartal &lt; 4</formula>
    </cfRule>
  </conditionalFormatting>
  <conditionalFormatting sqref="F123:G123">
    <cfRule type="expression" dxfId="835" priority="56">
      <formula>kvartal &lt; 4</formula>
    </cfRule>
  </conditionalFormatting>
  <conditionalFormatting sqref="F69:G69">
    <cfRule type="expression" dxfId="834" priority="55">
      <formula>kvartal &lt; 4</formula>
    </cfRule>
  </conditionalFormatting>
  <conditionalFormatting sqref="F72:G72">
    <cfRule type="expression" dxfId="833" priority="54">
      <formula>kvartal &lt; 4</formula>
    </cfRule>
  </conditionalFormatting>
  <conditionalFormatting sqref="F80:G80">
    <cfRule type="expression" dxfId="832" priority="53">
      <formula>kvartal &lt; 4</formula>
    </cfRule>
  </conditionalFormatting>
  <conditionalFormatting sqref="F83:G83">
    <cfRule type="expression" dxfId="831" priority="52">
      <formula>kvartal &lt; 4</formula>
    </cfRule>
  </conditionalFormatting>
  <conditionalFormatting sqref="F90:G90">
    <cfRule type="expression" dxfId="830" priority="46">
      <formula>kvartal &lt; 4</formula>
    </cfRule>
  </conditionalFormatting>
  <conditionalFormatting sqref="F93">
    <cfRule type="expression" dxfId="829" priority="45">
      <formula>kvartal &lt; 4</formula>
    </cfRule>
  </conditionalFormatting>
  <conditionalFormatting sqref="G93">
    <cfRule type="expression" dxfId="828" priority="44">
      <formula>kvartal &lt; 4</formula>
    </cfRule>
  </conditionalFormatting>
  <conditionalFormatting sqref="F101">
    <cfRule type="expression" dxfId="827" priority="43">
      <formula>kvartal &lt; 4</formula>
    </cfRule>
  </conditionalFormatting>
  <conditionalFormatting sqref="G101">
    <cfRule type="expression" dxfId="826" priority="42">
      <formula>kvartal &lt; 4</formula>
    </cfRule>
  </conditionalFormatting>
  <conditionalFormatting sqref="G104">
    <cfRule type="expression" dxfId="825" priority="41">
      <formula>kvartal &lt; 4</formula>
    </cfRule>
  </conditionalFormatting>
  <conditionalFormatting sqref="F104">
    <cfRule type="expression" dxfId="824" priority="40">
      <formula>kvartal &lt; 4</formula>
    </cfRule>
  </conditionalFormatting>
  <conditionalFormatting sqref="J69:K73">
    <cfRule type="expression" dxfId="823" priority="39">
      <formula>kvartal &lt; 4</formula>
    </cfRule>
  </conditionalFormatting>
  <conditionalFormatting sqref="J74:K74">
    <cfRule type="expression" dxfId="822" priority="38">
      <formula>kvartal &lt; 4</formula>
    </cfRule>
  </conditionalFormatting>
  <conditionalFormatting sqref="J80:K85">
    <cfRule type="expression" dxfId="821" priority="37">
      <formula>kvartal &lt; 4</formula>
    </cfRule>
  </conditionalFormatting>
  <conditionalFormatting sqref="J90:K95">
    <cfRule type="expression" dxfId="820" priority="34">
      <formula>kvartal &lt; 4</formula>
    </cfRule>
  </conditionalFormatting>
  <conditionalFormatting sqref="J101:K106">
    <cfRule type="expression" dxfId="819" priority="33">
      <formula>kvartal &lt; 4</formula>
    </cfRule>
  </conditionalFormatting>
  <conditionalFormatting sqref="J115:K115">
    <cfRule type="expression" dxfId="818" priority="32">
      <formula>kvartal &lt; 4</formula>
    </cfRule>
  </conditionalFormatting>
  <conditionalFormatting sqref="J123:K123">
    <cfRule type="expression" dxfId="817" priority="31">
      <formula>kvartal &lt; 4</formula>
    </cfRule>
  </conditionalFormatting>
  <conditionalFormatting sqref="A50:A52">
    <cfRule type="expression" dxfId="816" priority="12">
      <formula>kvartal &lt; 4</formula>
    </cfRule>
  </conditionalFormatting>
  <conditionalFormatting sqref="A69:A74">
    <cfRule type="expression" dxfId="815" priority="10">
      <formula>kvartal &lt; 4</formula>
    </cfRule>
  </conditionalFormatting>
  <conditionalFormatting sqref="A80:A85">
    <cfRule type="expression" dxfId="814" priority="9">
      <formula>kvartal &lt; 4</formula>
    </cfRule>
  </conditionalFormatting>
  <conditionalFormatting sqref="A90:A95">
    <cfRule type="expression" dxfId="813" priority="6">
      <formula>kvartal &lt; 4</formula>
    </cfRule>
  </conditionalFormatting>
  <conditionalFormatting sqref="A101:A106">
    <cfRule type="expression" dxfId="812" priority="5">
      <formula>kvartal &lt; 4</formula>
    </cfRule>
  </conditionalFormatting>
  <conditionalFormatting sqref="A115">
    <cfRule type="expression" dxfId="811" priority="4">
      <formula>kvartal &lt; 4</formula>
    </cfRule>
  </conditionalFormatting>
  <conditionalFormatting sqref="A123">
    <cfRule type="expression" dxfId="810" priority="3">
      <formula>kvartal &lt; 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58"/>
  <sheetViews>
    <sheetView showGridLines="0" tabSelected="1" zoomScale="70" zoomScaleNormal="70" workbookViewId="0">
      <selection activeCell="A3" sqref="A3"/>
    </sheetView>
  </sheetViews>
  <sheetFormatPr baseColWidth="10" defaultColWidth="11.42578125" defaultRowHeight="25.5" x14ac:dyDescent="0.35"/>
  <cols>
    <col min="1" max="1" width="11.42578125" style="67"/>
    <col min="2" max="2" width="25" style="67" customWidth="1"/>
    <col min="3" max="3" width="141.7109375" style="67" customWidth="1"/>
    <col min="4" max="16384" width="11.42578125" style="67"/>
  </cols>
  <sheetData>
    <row r="1" spans="1:14" ht="20.100000000000001" customHeight="1" x14ac:dyDescent="0.35">
      <c r="C1" s="68"/>
      <c r="D1" s="69"/>
      <c r="E1" s="69"/>
      <c r="F1" s="69"/>
      <c r="G1" s="69"/>
      <c r="H1" s="69"/>
      <c r="I1" s="69"/>
      <c r="J1" s="69"/>
      <c r="K1" s="69"/>
      <c r="L1" s="69"/>
      <c r="M1" s="69"/>
      <c r="N1" s="69"/>
    </row>
    <row r="2" spans="1:14" ht="20.100000000000001" customHeight="1" x14ac:dyDescent="0.35">
      <c r="C2" s="273" t="s">
        <v>31</v>
      </c>
      <c r="D2" s="69"/>
      <c r="E2" s="69"/>
      <c r="F2" s="69"/>
      <c r="G2" s="69"/>
      <c r="H2" s="69"/>
      <c r="I2" s="69"/>
      <c r="J2" s="69"/>
      <c r="K2" s="69"/>
      <c r="L2" s="69"/>
      <c r="M2" s="69"/>
      <c r="N2" s="69"/>
    </row>
    <row r="3" spans="1:14" ht="20.100000000000001" customHeight="1" x14ac:dyDescent="0.35">
      <c r="C3" s="70"/>
      <c r="D3" s="69"/>
      <c r="E3" s="69"/>
      <c r="F3" s="69"/>
      <c r="G3" s="69"/>
      <c r="H3" s="69"/>
      <c r="I3" s="69"/>
      <c r="J3" s="69"/>
      <c r="K3" s="69"/>
      <c r="L3" s="69"/>
      <c r="M3" s="69"/>
      <c r="N3" s="69"/>
    </row>
    <row r="4" spans="1:14" ht="20.100000000000001" customHeight="1" x14ac:dyDescent="0.35">
      <c r="C4" s="70"/>
      <c r="D4" s="69"/>
      <c r="E4" s="69"/>
      <c r="F4" s="69"/>
      <c r="G4" s="69"/>
      <c r="H4" s="69"/>
      <c r="I4" s="69"/>
      <c r="J4" s="69"/>
      <c r="K4" s="69"/>
      <c r="L4" s="69"/>
      <c r="M4" s="69"/>
      <c r="N4" s="69"/>
    </row>
    <row r="5" spans="1:14" ht="20.100000000000001" customHeight="1" x14ac:dyDescent="0.35">
      <c r="A5" s="70"/>
      <c r="B5" s="70"/>
      <c r="C5" s="70"/>
      <c r="D5" s="69"/>
      <c r="E5" s="69"/>
      <c r="F5" s="69"/>
      <c r="G5" s="69"/>
      <c r="H5" s="69"/>
      <c r="I5" s="69"/>
      <c r="J5" s="69"/>
      <c r="K5" s="69"/>
      <c r="L5" s="69"/>
      <c r="M5" s="69"/>
      <c r="N5" s="69"/>
    </row>
    <row r="6" spans="1:14" ht="20.100000000000001" customHeight="1" x14ac:dyDescent="0.35">
      <c r="A6" s="71" t="s">
        <v>32</v>
      </c>
      <c r="B6" s="71"/>
      <c r="C6" s="70"/>
      <c r="D6" s="69"/>
      <c r="E6" s="69"/>
      <c r="F6" s="69"/>
      <c r="G6" s="69"/>
      <c r="H6" s="69"/>
      <c r="I6" s="69"/>
      <c r="J6" s="69"/>
      <c r="K6" s="69"/>
      <c r="L6" s="69"/>
      <c r="M6" s="69"/>
      <c r="N6" s="69"/>
    </row>
    <row r="7" spans="1:14" ht="20.100000000000001" customHeight="1" x14ac:dyDescent="0.35">
      <c r="A7" s="70"/>
      <c r="B7" s="70" t="s">
        <v>33</v>
      </c>
      <c r="C7" s="70" t="s">
        <v>34</v>
      </c>
      <c r="D7" s="69"/>
      <c r="E7" s="69"/>
      <c r="F7" s="69"/>
      <c r="G7" s="69"/>
      <c r="H7" s="69"/>
      <c r="I7" s="69"/>
      <c r="J7" s="69"/>
      <c r="K7" s="69"/>
      <c r="L7" s="69"/>
      <c r="M7" s="69"/>
      <c r="N7" s="69"/>
    </row>
    <row r="8" spans="1:14" ht="20.100000000000001" customHeight="1" x14ac:dyDescent="0.35">
      <c r="A8" s="70"/>
      <c r="B8" s="70" t="s">
        <v>35</v>
      </c>
      <c r="C8" s="70" t="s">
        <v>36</v>
      </c>
      <c r="D8" s="69"/>
      <c r="E8" s="69"/>
      <c r="F8" s="69"/>
      <c r="G8" s="69"/>
      <c r="H8" s="69"/>
      <c r="I8" s="69"/>
      <c r="J8" s="69"/>
      <c r="K8" s="69"/>
      <c r="L8" s="69"/>
      <c r="M8" s="69"/>
      <c r="N8" s="69"/>
    </row>
    <row r="9" spans="1:14" ht="20.100000000000001" customHeight="1" x14ac:dyDescent="0.35">
      <c r="A9" s="70"/>
      <c r="B9" s="70" t="s">
        <v>37</v>
      </c>
      <c r="C9" s="70" t="s">
        <v>40</v>
      </c>
      <c r="D9" s="69"/>
      <c r="E9" s="69"/>
      <c r="F9" s="69"/>
      <c r="G9" s="69"/>
      <c r="H9" s="69"/>
      <c r="I9" s="69"/>
      <c r="J9" s="69"/>
      <c r="K9" s="69"/>
      <c r="L9" s="69"/>
      <c r="M9" s="69"/>
      <c r="N9" s="69"/>
    </row>
    <row r="10" spans="1:14" ht="20.100000000000001" customHeight="1" x14ac:dyDescent="0.35">
      <c r="A10" s="70"/>
      <c r="B10" s="70" t="s">
        <v>38</v>
      </c>
      <c r="C10" s="70" t="s">
        <v>42</v>
      </c>
      <c r="D10" s="69"/>
      <c r="E10" s="69"/>
      <c r="F10" s="69"/>
      <c r="G10" s="69"/>
      <c r="H10" s="69"/>
      <c r="I10" s="69"/>
      <c r="J10" s="69"/>
      <c r="K10" s="69"/>
      <c r="L10" s="69"/>
      <c r="M10" s="69"/>
      <c r="N10" s="69"/>
    </row>
    <row r="11" spans="1:14" ht="20.100000000000001" customHeight="1" x14ac:dyDescent="0.35">
      <c r="A11" s="70"/>
      <c r="B11" s="70" t="s">
        <v>39</v>
      </c>
      <c r="C11" s="70" t="s">
        <v>43</v>
      </c>
      <c r="D11" s="69"/>
      <c r="E11" s="69"/>
      <c r="F11" s="69"/>
      <c r="G11" s="69"/>
      <c r="H11" s="69"/>
      <c r="I11" s="69"/>
      <c r="J11" s="69"/>
      <c r="K11" s="69"/>
      <c r="L11" s="69"/>
      <c r="M11" s="69"/>
      <c r="N11" s="69"/>
    </row>
    <row r="12" spans="1:14" ht="20.100000000000001" customHeight="1" x14ac:dyDescent="0.35">
      <c r="A12" s="70"/>
      <c r="B12" s="70" t="s">
        <v>41</v>
      </c>
      <c r="C12" s="70" t="s">
        <v>44</v>
      </c>
      <c r="D12" s="69"/>
      <c r="E12" s="69"/>
      <c r="F12" s="69"/>
      <c r="G12" s="69"/>
      <c r="H12" s="69"/>
      <c r="I12" s="69"/>
      <c r="J12" s="69"/>
      <c r="K12" s="69"/>
      <c r="L12" s="69"/>
      <c r="M12" s="69"/>
      <c r="N12" s="69"/>
    </row>
    <row r="13" spans="1:14" ht="18.75" customHeight="1" x14ac:dyDescent="0.35">
      <c r="A13" s="70"/>
      <c r="B13" s="70"/>
      <c r="C13" s="70"/>
      <c r="D13" s="69"/>
      <c r="E13" s="69"/>
      <c r="F13" s="69"/>
      <c r="G13" s="69"/>
      <c r="H13" s="69"/>
      <c r="I13" s="69"/>
      <c r="J13" s="69"/>
      <c r="K13" s="69"/>
      <c r="L13" s="69"/>
      <c r="M13" s="69"/>
      <c r="N13" s="69"/>
    </row>
    <row r="14" spans="1:14" ht="20.100000000000001" customHeight="1" x14ac:dyDescent="0.35">
      <c r="A14" s="272" t="s">
        <v>45</v>
      </c>
      <c r="B14" s="71"/>
      <c r="C14" s="70"/>
      <c r="D14" s="69"/>
      <c r="E14" s="69"/>
      <c r="F14" s="69"/>
      <c r="G14" s="69"/>
      <c r="H14" s="69"/>
      <c r="I14" s="69"/>
      <c r="J14" s="69"/>
      <c r="K14" s="69"/>
      <c r="L14" s="69"/>
      <c r="M14" s="69"/>
      <c r="N14" s="69"/>
    </row>
    <row r="15" spans="1:14" ht="20.100000000000001" customHeight="1" x14ac:dyDescent="0.35">
      <c r="A15" s="70"/>
      <c r="B15" s="70" t="s">
        <v>46</v>
      </c>
      <c r="C15" s="70"/>
      <c r="D15" s="69"/>
      <c r="E15" s="69"/>
      <c r="F15" s="69"/>
      <c r="G15" s="69"/>
      <c r="H15" s="69"/>
      <c r="I15" s="69"/>
      <c r="J15" s="69"/>
      <c r="K15" s="69"/>
      <c r="L15" s="69"/>
      <c r="M15" s="69"/>
      <c r="N15" s="69"/>
    </row>
    <row r="16" spans="1:14" ht="20.100000000000001" customHeight="1" x14ac:dyDescent="0.35">
      <c r="A16" s="70"/>
      <c r="B16" s="71" t="s">
        <v>47</v>
      </c>
      <c r="C16" s="70" t="s">
        <v>48</v>
      </c>
      <c r="D16" s="69"/>
      <c r="E16" s="69"/>
      <c r="F16" s="69"/>
      <c r="G16" s="69"/>
      <c r="H16" s="69"/>
      <c r="I16" s="69"/>
      <c r="J16" s="69"/>
      <c r="K16" s="69"/>
      <c r="L16" s="69"/>
      <c r="M16" s="69"/>
      <c r="N16" s="69"/>
    </row>
    <row r="17" spans="1:14" ht="20.100000000000001" customHeight="1" x14ac:dyDescent="0.35">
      <c r="A17" s="70"/>
      <c r="B17" s="71" t="s">
        <v>49</v>
      </c>
      <c r="C17" s="70" t="s">
        <v>50</v>
      </c>
      <c r="D17" s="69"/>
      <c r="E17" s="69"/>
      <c r="F17" s="69"/>
      <c r="G17" s="69"/>
      <c r="H17" s="69"/>
      <c r="I17" s="69"/>
      <c r="J17" s="69"/>
      <c r="K17" s="69"/>
      <c r="L17" s="69"/>
      <c r="M17" s="69"/>
      <c r="N17" s="69"/>
    </row>
    <row r="18" spans="1:14" ht="20.100000000000001" customHeight="1" x14ac:dyDescent="0.35">
      <c r="A18" s="70"/>
      <c r="B18" s="71" t="s">
        <v>347</v>
      </c>
      <c r="C18" s="70" t="s">
        <v>348</v>
      </c>
      <c r="D18" s="69"/>
      <c r="E18" s="69"/>
      <c r="F18" s="69"/>
      <c r="G18" s="69"/>
      <c r="H18" s="69"/>
      <c r="I18" s="69"/>
      <c r="J18" s="69"/>
      <c r="K18" s="69"/>
      <c r="L18" s="69"/>
      <c r="M18" s="69"/>
      <c r="N18" s="69"/>
    </row>
    <row r="19" spans="1:14" ht="20.100000000000001" customHeight="1" x14ac:dyDescent="0.35">
      <c r="A19" s="70"/>
      <c r="B19" s="70" t="s">
        <v>349</v>
      </c>
      <c r="C19" s="70" t="s">
        <v>277</v>
      </c>
      <c r="D19" s="69"/>
      <c r="E19" s="69"/>
      <c r="F19" s="69"/>
      <c r="G19" s="69"/>
      <c r="H19" s="69"/>
      <c r="I19" s="69"/>
      <c r="J19" s="69"/>
      <c r="K19" s="69"/>
      <c r="L19" s="69"/>
      <c r="M19" s="69"/>
      <c r="N19" s="69"/>
    </row>
    <row r="20" spans="1:14" s="345" customFormat="1" ht="20.100000000000001" customHeight="1" x14ac:dyDescent="0.35">
      <c r="A20" s="343"/>
      <c r="B20" s="343" t="s">
        <v>351</v>
      </c>
      <c r="C20" s="343" t="s">
        <v>350</v>
      </c>
      <c r="D20" s="344"/>
      <c r="E20" s="344"/>
      <c r="F20" s="344"/>
      <c r="G20" s="344"/>
      <c r="H20" s="344"/>
      <c r="I20" s="344"/>
      <c r="J20" s="344"/>
      <c r="K20" s="344"/>
      <c r="L20" s="344"/>
      <c r="M20" s="344"/>
      <c r="N20" s="344"/>
    </row>
    <row r="21" spans="1:14" ht="20.100000000000001" customHeight="1" x14ac:dyDescent="0.35">
      <c r="A21" s="70"/>
      <c r="B21" s="70"/>
      <c r="C21" s="70"/>
    </row>
    <row r="22" spans="1:14" ht="18.75" customHeight="1" x14ac:dyDescent="0.35">
      <c r="A22" s="70"/>
      <c r="B22" s="343" t="s">
        <v>261</v>
      </c>
      <c r="C22" s="343"/>
    </row>
    <row r="23" spans="1:14" ht="20.100000000000001" customHeight="1" x14ac:dyDescent="0.35">
      <c r="A23" s="70"/>
      <c r="B23" s="346" t="s">
        <v>262</v>
      </c>
      <c r="C23" s="343" t="s">
        <v>263</v>
      </c>
    </row>
    <row r="24" spans="1:14" ht="20.100000000000001" hidden="1" customHeight="1" x14ac:dyDescent="0.35">
      <c r="A24" s="70"/>
      <c r="B24" s="346" t="s">
        <v>264</v>
      </c>
      <c r="C24" s="343" t="s">
        <v>265</v>
      </c>
    </row>
    <row r="25" spans="1:14" ht="20.100000000000001" hidden="1" customHeight="1" x14ac:dyDescent="0.35">
      <c r="A25" s="70"/>
      <c r="B25" s="346" t="s">
        <v>266</v>
      </c>
      <c r="C25" s="343" t="s">
        <v>267</v>
      </c>
    </row>
    <row r="26" spans="1:14" ht="20.100000000000001" hidden="1" customHeight="1" x14ac:dyDescent="0.35">
      <c r="A26" s="70"/>
      <c r="B26" s="346" t="s">
        <v>268</v>
      </c>
      <c r="C26" s="343" t="s">
        <v>269</v>
      </c>
    </row>
    <row r="27" spans="1:14" ht="20.100000000000001" customHeight="1" x14ac:dyDescent="0.35">
      <c r="A27" s="70"/>
      <c r="B27" s="346" t="s">
        <v>178</v>
      </c>
      <c r="C27" s="343" t="s">
        <v>270</v>
      </c>
    </row>
    <row r="28" spans="1:14" ht="20.100000000000001" hidden="1" customHeight="1" x14ac:dyDescent="0.35">
      <c r="A28" s="70"/>
      <c r="B28" s="340" t="s">
        <v>271</v>
      </c>
      <c r="C28" s="271" t="s">
        <v>272</v>
      </c>
    </row>
    <row r="29" spans="1:14" ht="20.100000000000001" hidden="1" customHeight="1" x14ac:dyDescent="0.35">
      <c r="A29" s="70"/>
      <c r="B29" s="340" t="s">
        <v>273</v>
      </c>
      <c r="C29" s="271" t="s">
        <v>274</v>
      </c>
    </row>
    <row r="30" spans="1:14" ht="18.75" customHeight="1" x14ac:dyDescent="0.35">
      <c r="A30" s="70"/>
      <c r="B30" s="346" t="s">
        <v>275</v>
      </c>
      <c r="C30" s="343" t="s">
        <v>276</v>
      </c>
    </row>
    <row r="31" spans="1:14" ht="18.75" customHeight="1" x14ac:dyDescent="0.35">
      <c r="A31" s="70"/>
      <c r="B31" s="346"/>
      <c r="C31" s="343"/>
    </row>
    <row r="32" spans="1:14" ht="20.100000000000001" customHeight="1" x14ac:dyDescent="0.35">
      <c r="A32" s="70"/>
      <c r="B32" s="70"/>
      <c r="C32" s="70"/>
    </row>
    <row r="33" spans="1:14" x14ac:dyDescent="0.35">
      <c r="A33" s="71" t="s">
        <v>51</v>
      </c>
      <c r="B33" s="70"/>
      <c r="C33" s="70"/>
    </row>
    <row r="34" spans="1:14" ht="26.25" hidden="1" customHeight="1" x14ac:dyDescent="0.4">
      <c r="C34" s="72"/>
    </row>
    <row r="35" spans="1:14" ht="26.25" hidden="1" customHeight="1" x14ac:dyDescent="0.4">
      <c r="C35" s="72"/>
    </row>
    <row r="36" spans="1:14" ht="18.75" customHeight="1" x14ac:dyDescent="0.4">
      <c r="C36" s="341"/>
      <c r="D36" s="342"/>
    </row>
    <row r="37" spans="1:14" ht="26.25" x14ac:dyDescent="0.4">
      <c r="C37" s="72"/>
    </row>
    <row r="38" spans="1:14" ht="26.25" x14ac:dyDescent="0.4">
      <c r="C38" s="72"/>
    </row>
    <row r="39" spans="1:14" ht="26.25" x14ac:dyDescent="0.4">
      <c r="C39" s="341"/>
      <c r="D39" s="345"/>
      <c r="E39" s="345"/>
      <c r="F39" s="345"/>
      <c r="G39" s="345"/>
      <c r="H39" s="345"/>
      <c r="I39" s="345"/>
      <c r="J39" s="345"/>
      <c r="K39" s="345"/>
      <c r="L39" s="345"/>
      <c r="M39" s="345"/>
      <c r="N39" s="345"/>
    </row>
    <row r="40" spans="1:14" ht="26.25" x14ac:dyDescent="0.4">
      <c r="C40" s="72"/>
    </row>
    <row r="41" spans="1:14" ht="26.25" x14ac:dyDescent="0.4">
      <c r="C41" s="72"/>
    </row>
    <row r="42" spans="1:14" ht="26.25" x14ac:dyDescent="0.4">
      <c r="C42" s="72"/>
    </row>
    <row r="43" spans="1:14" ht="26.25" x14ac:dyDescent="0.4">
      <c r="C43" s="72"/>
    </row>
    <row r="44" spans="1:14" ht="26.25" x14ac:dyDescent="0.4">
      <c r="C44" s="72"/>
    </row>
    <row r="45" spans="1:14" ht="26.25" x14ac:dyDescent="0.4">
      <c r="C45" s="72"/>
    </row>
    <row r="46" spans="1:14" ht="26.25" x14ac:dyDescent="0.4">
      <c r="C46" s="72"/>
    </row>
    <row r="47" spans="1:14" ht="26.25" x14ac:dyDescent="0.4">
      <c r="C47" s="72"/>
    </row>
    <row r="48" spans="1:14" ht="26.25" x14ac:dyDescent="0.4">
      <c r="C48" s="72"/>
    </row>
    <row r="49" spans="3:3" ht="26.25" x14ac:dyDescent="0.4">
      <c r="C49" s="72"/>
    </row>
    <row r="50" spans="3:3" ht="26.25" x14ac:dyDescent="0.4">
      <c r="C50" s="72"/>
    </row>
    <row r="51" spans="3:3" ht="26.25" x14ac:dyDescent="0.4">
      <c r="C51" s="72"/>
    </row>
    <row r="52" spans="3:3" ht="26.25" x14ac:dyDescent="0.4">
      <c r="C52" s="72"/>
    </row>
    <row r="53" spans="3:3" ht="26.25" x14ac:dyDescent="0.4">
      <c r="C53" s="72"/>
    </row>
    <row r="54" spans="3:3" ht="26.25" x14ac:dyDescent="0.4">
      <c r="C54" s="72"/>
    </row>
    <row r="55" spans="3:3" ht="26.25" x14ac:dyDescent="0.4">
      <c r="C55" s="72"/>
    </row>
    <row r="56" spans="3:3" ht="26.25" x14ac:dyDescent="0.4">
      <c r="C56" s="72"/>
    </row>
    <row r="57" spans="3:3" ht="26.25" x14ac:dyDescent="0.4">
      <c r="C57" s="72"/>
    </row>
    <row r="58" spans="3:3" ht="26.25" x14ac:dyDescent="0.4">
      <c r="C58" s="72"/>
    </row>
  </sheetData>
  <hyperlinks>
    <hyperlink ref="A6" location="Figurer!A1" display="FIGURER" xr:uid="{00000000-0004-0000-0100-000000000000}"/>
    <hyperlink ref="A14" location="'Tabel 1.1'!A1" display="TABELLER" xr:uid="{00000000-0004-0000-0100-000001000000}"/>
    <hyperlink ref="B16" location="'Tabell 1.1'!A1" display="Tabell 1.1" xr:uid="{00000000-0004-0000-0100-000002000000}"/>
    <hyperlink ref="B17" location="'Tabell 1.2'!A1" display="Tabell 1.2" xr:uid="{00000000-0004-0000-0100-000003000000}"/>
    <hyperlink ref="A33" location="'Noter og kommentarer'!A1" display="NOTER OG KOMMENTARER" xr:uid="{00000000-0004-0000-0100-000004000000}"/>
    <hyperlink ref="B23" location="'Tabell 4'!A1" display="Tabell 4" xr:uid="{00000000-0004-0000-0100-000005000000}"/>
    <hyperlink ref="B27" location="'Tabell 6'!A1" display="Tabell 6" xr:uid="{00000000-0004-0000-0100-000006000000}"/>
    <hyperlink ref="B30" location="'Tabell 8'!A1" display="Tabell 8" xr:uid="{00000000-0004-0000-0100-000007000000}"/>
    <hyperlink ref="B24" location="'Tabell 5.1'!A1" display="Tabell 5.1" xr:uid="{00000000-0004-0000-0100-000008000000}"/>
    <hyperlink ref="B25" location="'Tabell 5.2'!A1" display="Tabell 5.2" xr:uid="{00000000-0004-0000-0100-000009000000}"/>
    <hyperlink ref="B26" location="'Tabell 5.3'!A1" display="Tabell 5.3" xr:uid="{00000000-0004-0000-0100-00000A000000}"/>
    <hyperlink ref="B28" location="'Tabell 7a'!A1" display="Tabell 7a" xr:uid="{00000000-0004-0000-0100-00000B000000}"/>
    <hyperlink ref="B29" location="'Tabell 7b'!A1" display="Tabell 7b" xr:uid="{00000000-0004-0000-0100-00000C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64"/>
      <c r="C1" s="246" t="s">
        <v>97</v>
      </c>
      <c r="D1" s="26"/>
      <c r="E1" s="26"/>
      <c r="F1" s="26"/>
      <c r="G1" s="26"/>
      <c r="H1" s="26"/>
      <c r="I1" s="26"/>
      <c r="J1" s="26"/>
      <c r="K1" s="26"/>
      <c r="L1" s="26"/>
      <c r="M1" s="26"/>
    </row>
    <row r="2" spans="1:14" ht="15.75" x14ac:dyDescent="0.25">
      <c r="A2" s="165" t="s">
        <v>28</v>
      </c>
      <c r="B2" s="700"/>
      <c r="C2" s="700"/>
      <c r="D2" s="700"/>
      <c r="E2" s="297"/>
      <c r="F2" s="700"/>
      <c r="G2" s="700"/>
      <c r="H2" s="700"/>
      <c r="I2" s="297"/>
      <c r="J2" s="700"/>
      <c r="K2" s="700"/>
      <c r="L2" s="700"/>
      <c r="M2" s="297"/>
    </row>
    <row r="3" spans="1:14" ht="15.75" x14ac:dyDescent="0.25">
      <c r="A3" s="163"/>
      <c r="B3" s="297"/>
      <c r="C3" s="297"/>
      <c r="D3" s="297"/>
      <c r="E3" s="297"/>
      <c r="F3" s="297"/>
      <c r="G3" s="297"/>
      <c r="H3" s="297"/>
      <c r="I3" s="297"/>
      <c r="J3" s="297"/>
      <c r="K3" s="297"/>
      <c r="L3" s="297"/>
      <c r="M3" s="297"/>
    </row>
    <row r="4" spans="1:14" x14ac:dyDescent="0.2">
      <c r="A4" s="144"/>
      <c r="B4" s="696" t="s">
        <v>0</v>
      </c>
      <c r="C4" s="697"/>
      <c r="D4" s="697"/>
      <c r="E4" s="299"/>
      <c r="F4" s="696" t="s">
        <v>1</v>
      </c>
      <c r="G4" s="697"/>
      <c r="H4" s="697"/>
      <c r="I4" s="302"/>
      <c r="J4" s="696" t="s">
        <v>2</v>
      </c>
      <c r="K4" s="697"/>
      <c r="L4" s="697"/>
      <c r="M4" s="302"/>
    </row>
    <row r="5" spans="1:14" x14ac:dyDescent="0.2">
      <c r="A5" s="158"/>
      <c r="B5" s="152" t="s">
        <v>422</v>
      </c>
      <c r="C5" s="152" t="s">
        <v>423</v>
      </c>
      <c r="D5" s="243" t="s">
        <v>3</v>
      </c>
      <c r="E5" s="303" t="s">
        <v>29</v>
      </c>
      <c r="F5" s="152" t="s">
        <v>422</v>
      </c>
      <c r="G5" s="152" t="s">
        <v>423</v>
      </c>
      <c r="H5" s="243" t="s">
        <v>3</v>
      </c>
      <c r="I5" s="162" t="s">
        <v>29</v>
      </c>
      <c r="J5" s="152" t="s">
        <v>422</v>
      </c>
      <c r="K5" s="152" t="s">
        <v>423</v>
      </c>
      <c r="L5" s="243" t="s">
        <v>3</v>
      </c>
      <c r="M5" s="162" t="s">
        <v>29</v>
      </c>
    </row>
    <row r="6" spans="1:14" x14ac:dyDescent="0.2">
      <c r="A6" s="665"/>
      <c r="B6" s="156"/>
      <c r="C6" s="156"/>
      <c r="D6" s="244" t="s">
        <v>4</v>
      </c>
      <c r="E6" s="156" t="s">
        <v>30</v>
      </c>
      <c r="F6" s="161"/>
      <c r="G6" s="161"/>
      <c r="H6" s="243" t="s">
        <v>4</v>
      </c>
      <c r="I6" s="156" t="s">
        <v>30</v>
      </c>
      <c r="J6" s="161"/>
      <c r="K6" s="161"/>
      <c r="L6" s="243" t="s">
        <v>4</v>
      </c>
      <c r="M6" s="156" t="s">
        <v>30</v>
      </c>
    </row>
    <row r="7" spans="1:14" ht="15.75" x14ac:dyDescent="0.2">
      <c r="A7" s="14" t="s">
        <v>23</v>
      </c>
      <c r="B7" s="304"/>
      <c r="C7" s="305"/>
      <c r="D7" s="347"/>
      <c r="E7" s="11"/>
      <c r="F7" s="304"/>
      <c r="G7" s="305"/>
      <c r="H7" s="347"/>
      <c r="I7" s="160"/>
      <c r="J7" s="306"/>
      <c r="K7" s="307"/>
      <c r="L7" s="370"/>
      <c r="M7" s="11"/>
    </row>
    <row r="8" spans="1:14" ht="15.75" x14ac:dyDescent="0.2">
      <c r="A8" s="21" t="s">
        <v>25</v>
      </c>
      <c r="B8" s="279"/>
      <c r="C8" s="280"/>
      <c r="D8" s="166"/>
      <c r="E8" s="27"/>
      <c r="F8" s="283"/>
      <c r="G8" s="284"/>
      <c r="H8" s="166"/>
      <c r="I8" s="175"/>
      <c r="J8" s="232"/>
      <c r="K8" s="285"/>
      <c r="L8" s="252"/>
      <c r="M8" s="27"/>
    </row>
    <row r="9" spans="1:14" ht="15.75" x14ac:dyDescent="0.2">
      <c r="A9" s="21" t="s">
        <v>24</v>
      </c>
      <c r="B9" s="279"/>
      <c r="C9" s="280"/>
      <c r="D9" s="166"/>
      <c r="E9" s="27"/>
      <c r="F9" s="283"/>
      <c r="G9" s="284"/>
      <c r="H9" s="166"/>
      <c r="I9" s="175"/>
      <c r="J9" s="232"/>
      <c r="K9" s="285"/>
      <c r="L9" s="252"/>
      <c r="M9" s="27"/>
    </row>
    <row r="10" spans="1:14" ht="15.75" x14ac:dyDescent="0.2">
      <c r="A10" s="13" t="s">
        <v>371</v>
      </c>
      <c r="B10" s="308"/>
      <c r="C10" s="309"/>
      <c r="D10" s="171"/>
      <c r="E10" s="11"/>
      <c r="F10" s="308"/>
      <c r="G10" s="309"/>
      <c r="H10" s="171"/>
      <c r="I10" s="160"/>
      <c r="J10" s="306"/>
      <c r="K10" s="307"/>
      <c r="L10" s="371"/>
      <c r="M10" s="11"/>
    </row>
    <row r="11" spans="1:14" s="43" customFormat="1" ht="15.75" x14ac:dyDescent="0.2">
      <c r="A11" s="13" t="s">
        <v>372</v>
      </c>
      <c r="B11" s="308"/>
      <c r="C11" s="309"/>
      <c r="D11" s="171"/>
      <c r="E11" s="11"/>
      <c r="F11" s="308"/>
      <c r="G11" s="309"/>
      <c r="H11" s="171"/>
      <c r="I11" s="160"/>
      <c r="J11" s="306"/>
      <c r="K11" s="307"/>
      <c r="L11" s="371"/>
      <c r="M11" s="11"/>
      <c r="N11" s="143"/>
    </row>
    <row r="12" spans="1:14" s="43" customFormat="1" ht="15.75" x14ac:dyDescent="0.2">
      <c r="A12" s="41" t="s">
        <v>373</v>
      </c>
      <c r="B12" s="310"/>
      <c r="C12" s="311"/>
      <c r="D12" s="169"/>
      <c r="E12" s="36"/>
      <c r="F12" s="310"/>
      <c r="G12" s="311"/>
      <c r="H12" s="169"/>
      <c r="I12" s="169"/>
      <c r="J12" s="312"/>
      <c r="K12" s="313"/>
      <c r="L12" s="372"/>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95"/>
      <c r="C18" s="695"/>
      <c r="D18" s="695"/>
      <c r="E18" s="297"/>
      <c r="F18" s="695"/>
      <c r="G18" s="695"/>
      <c r="H18" s="695"/>
      <c r="I18" s="297"/>
      <c r="J18" s="695"/>
      <c r="K18" s="695"/>
      <c r="L18" s="695"/>
      <c r="M18" s="297"/>
    </row>
    <row r="19" spans="1:14" x14ac:dyDescent="0.2">
      <c r="A19" s="144"/>
      <c r="B19" s="696" t="s">
        <v>0</v>
      </c>
      <c r="C19" s="697"/>
      <c r="D19" s="697"/>
      <c r="E19" s="299"/>
      <c r="F19" s="696" t="s">
        <v>1</v>
      </c>
      <c r="G19" s="697"/>
      <c r="H19" s="697"/>
      <c r="I19" s="302"/>
      <c r="J19" s="696" t="s">
        <v>2</v>
      </c>
      <c r="K19" s="697"/>
      <c r="L19" s="697"/>
      <c r="M19" s="302"/>
    </row>
    <row r="20" spans="1:14" x14ac:dyDescent="0.2">
      <c r="A20" s="140" t="s">
        <v>5</v>
      </c>
      <c r="B20" s="152" t="s">
        <v>422</v>
      </c>
      <c r="C20" s="152" t="s">
        <v>423</v>
      </c>
      <c r="D20" s="162" t="s">
        <v>3</v>
      </c>
      <c r="E20" s="303" t="s">
        <v>29</v>
      </c>
      <c r="F20" s="152" t="s">
        <v>422</v>
      </c>
      <c r="G20" s="152" t="s">
        <v>423</v>
      </c>
      <c r="H20" s="162" t="s">
        <v>3</v>
      </c>
      <c r="I20" s="162" t="s">
        <v>29</v>
      </c>
      <c r="J20" s="152" t="s">
        <v>422</v>
      </c>
      <c r="K20" s="152" t="s">
        <v>423</v>
      </c>
      <c r="L20" s="162" t="s">
        <v>3</v>
      </c>
      <c r="M20" s="162" t="s">
        <v>29</v>
      </c>
    </row>
    <row r="21" spans="1:14" x14ac:dyDescent="0.2">
      <c r="A21" s="666"/>
      <c r="B21" s="156"/>
      <c r="C21" s="156"/>
      <c r="D21" s="244" t="s">
        <v>4</v>
      </c>
      <c r="E21" s="156" t="s">
        <v>30</v>
      </c>
      <c r="F21" s="161"/>
      <c r="G21" s="161"/>
      <c r="H21" s="243" t="s">
        <v>4</v>
      </c>
      <c r="I21" s="156" t="s">
        <v>30</v>
      </c>
      <c r="J21" s="161"/>
      <c r="K21" s="161"/>
      <c r="L21" s="156" t="s">
        <v>4</v>
      </c>
      <c r="M21" s="156" t="s">
        <v>30</v>
      </c>
    </row>
    <row r="22" spans="1:14" ht="15.75" x14ac:dyDescent="0.2">
      <c r="A22" s="14" t="s">
        <v>23</v>
      </c>
      <c r="B22" s="308"/>
      <c r="C22" s="308"/>
      <c r="D22" s="347"/>
      <c r="E22" s="11"/>
      <c r="F22" s="316"/>
      <c r="G22" s="316"/>
      <c r="H22" s="347"/>
      <c r="I22" s="11"/>
      <c r="J22" s="314"/>
      <c r="K22" s="314"/>
      <c r="L22" s="370"/>
      <c r="M22" s="24"/>
    </row>
    <row r="23" spans="1:14" ht="15.75" x14ac:dyDescent="0.2">
      <c r="A23" s="551" t="s">
        <v>374</v>
      </c>
      <c r="B23" s="279"/>
      <c r="C23" s="279"/>
      <c r="D23" s="166"/>
      <c r="E23" s="11"/>
      <c r="F23" s="288"/>
      <c r="G23" s="288"/>
      <c r="H23" s="166"/>
      <c r="I23" s="363"/>
      <c r="J23" s="288"/>
      <c r="K23" s="288"/>
      <c r="L23" s="166"/>
      <c r="M23" s="23"/>
    </row>
    <row r="24" spans="1:14" ht="15.75" x14ac:dyDescent="0.2">
      <c r="A24" s="551" t="s">
        <v>375</v>
      </c>
      <c r="B24" s="279"/>
      <c r="C24" s="279"/>
      <c r="D24" s="166"/>
      <c r="E24" s="11"/>
      <c r="F24" s="288"/>
      <c r="G24" s="288"/>
      <c r="H24" s="166"/>
      <c r="I24" s="363"/>
      <c r="J24" s="288"/>
      <c r="K24" s="288"/>
      <c r="L24" s="166"/>
      <c r="M24" s="23"/>
    </row>
    <row r="25" spans="1:14" ht="15.75" x14ac:dyDescent="0.2">
      <c r="A25" s="551" t="s">
        <v>376</v>
      </c>
      <c r="B25" s="279"/>
      <c r="C25" s="279"/>
      <c r="D25" s="166"/>
      <c r="E25" s="11"/>
      <c r="F25" s="288"/>
      <c r="G25" s="288"/>
      <c r="H25" s="166"/>
      <c r="I25" s="363"/>
      <c r="J25" s="288"/>
      <c r="K25" s="288"/>
      <c r="L25" s="166"/>
      <c r="M25" s="23"/>
    </row>
    <row r="26" spans="1:14" ht="15.75" x14ac:dyDescent="0.2">
      <c r="A26" s="551" t="s">
        <v>377</v>
      </c>
      <c r="B26" s="279"/>
      <c r="C26" s="279"/>
      <c r="D26" s="166"/>
      <c r="E26" s="11"/>
      <c r="F26" s="288"/>
      <c r="G26" s="288"/>
      <c r="H26" s="166"/>
      <c r="I26" s="363"/>
      <c r="J26" s="288"/>
      <c r="K26" s="288"/>
      <c r="L26" s="166"/>
      <c r="M26" s="23"/>
    </row>
    <row r="27" spans="1:14" x14ac:dyDescent="0.2">
      <c r="A27" s="551" t="s">
        <v>11</v>
      </c>
      <c r="B27" s="279"/>
      <c r="C27" s="279"/>
      <c r="D27" s="166"/>
      <c r="E27" s="11"/>
      <c r="F27" s="288"/>
      <c r="G27" s="288"/>
      <c r="H27" s="166"/>
      <c r="I27" s="363"/>
      <c r="J27" s="288"/>
      <c r="K27" s="288"/>
      <c r="L27" s="166"/>
      <c r="M27" s="23"/>
    </row>
    <row r="28" spans="1:14" ht="15.75" x14ac:dyDescent="0.2">
      <c r="A28" s="49" t="s">
        <v>282</v>
      </c>
      <c r="B28" s="44"/>
      <c r="C28" s="285"/>
      <c r="D28" s="166"/>
      <c r="E28" s="11"/>
      <c r="F28" s="232"/>
      <c r="G28" s="285"/>
      <c r="H28" s="166"/>
      <c r="I28" s="27"/>
      <c r="J28" s="44"/>
      <c r="K28" s="44"/>
      <c r="L28" s="252"/>
      <c r="M28" s="23"/>
    </row>
    <row r="29" spans="1:14" s="3" customFormat="1" ht="15.75" x14ac:dyDescent="0.2">
      <c r="A29" s="13" t="s">
        <v>371</v>
      </c>
      <c r="B29" s="234"/>
      <c r="C29" s="234"/>
      <c r="D29" s="171"/>
      <c r="E29" s="11"/>
      <c r="F29" s="306"/>
      <c r="G29" s="306"/>
      <c r="H29" s="171"/>
      <c r="I29" s="11"/>
      <c r="J29" s="234"/>
      <c r="K29" s="234"/>
      <c r="L29" s="371"/>
      <c r="M29" s="24"/>
      <c r="N29" s="148"/>
    </row>
    <row r="30" spans="1:14" s="3" customFormat="1" ht="15.75" x14ac:dyDescent="0.2">
      <c r="A30" s="551" t="s">
        <v>374</v>
      </c>
      <c r="B30" s="279"/>
      <c r="C30" s="279"/>
      <c r="D30" s="166"/>
      <c r="E30" s="11"/>
      <c r="F30" s="288"/>
      <c r="G30" s="288"/>
      <c r="H30" s="166"/>
      <c r="I30" s="363"/>
      <c r="J30" s="288"/>
      <c r="K30" s="288"/>
      <c r="L30" s="166"/>
      <c r="M30" s="23"/>
      <c r="N30" s="148"/>
    </row>
    <row r="31" spans="1:14" s="3" customFormat="1" ht="15.75" x14ac:dyDescent="0.2">
      <c r="A31" s="551" t="s">
        <v>375</v>
      </c>
      <c r="B31" s="279"/>
      <c r="C31" s="279"/>
      <c r="D31" s="166"/>
      <c r="E31" s="11"/>
      <c r="F31" s="288"/>
      <c r="G31" s="288"/>
      <c r="H31" s="166"/>
      <c r="I31" s="363"/>
      <c r="J31" s="288"/>
      <c r="K31" s="288"/>
      <c r="L31" s="166"/>
      <c r="M31" s="23"/>
      <c r="N31" s="148"/>
    </row>
    <row r="32" spans="1:14" ht="15.75" x14ac:dyDescent="0.2">
      <c r="A32" s="551" t="s">
        <v>376</v>
      </c>
      <c r="B32" s="279"/>
      <c r="C32" s="279"/>
      <c r="D32" s="166"/>
      <c r="E32" s="11"/>
      <c r="F32" s="288"/>
      <c r="G32" s="288"/>
      <c r="H32" s="166"/>
      <c r="I32" s="363"/>
      <c r="J32" s="288"/>
      <c r="K32" s="288"/>
      <c r="L32" s="166"/>
      <c r="M32" s="23"/>
    </row>
    <row r="33" spans="1:14" ht="15.75" x14ac:dyDescent="0.2">
      <c r="A33" s="551" t="s">
        <v>377</v>
      </c>
      <c r="B33" s="279"/>
      <c r="C33" s="279"/>
      <c r="D33" s="166"/>
      <c r="E33" s="11"/>
      <c r="F33" s="288"/>
      <c r="G33" s="288"/>
      <c r="H33" s="166"/>
      <c r="I33" s="363"/>
      <c r="J33" s="288"/>
      <c r="K33" s="288"/>
      <c r="L33" s="166"/>
      <c r="M33" s="23"/>
    </row>
    <row r="34" spans="1:14" ht="15.75" x14ac:dyDescent="0.2">
      <c r="A34" s="13" t="s">
        <v>372</v>
      </c>
      <c r="B34" s="234"/>
      <c r="C34" s="307"/>
      <c r="D34" s="171"/>
      <c r="E34" s="11"/>
      <c r="F34" s="306"/>
      <c r="G34" s="307"/>
      <c r="H34" s="171"/>
      <c r="I34" s="11"/>
      <c r="J34" s="234"/>
      <c r="K34" s="234"/>
      <c r="L34" s="371"/>
      <c r="M34" s="24"/>
    </row>
    <row r="35" spans="1:14" ht="15.75" x14ac:dyDescent="0.2">
      <c r="A35" s="13" t="s">
        <v>373</v>
      </c>
      <c r="B35" s="234"/>
      <c r="C35" s="307"/>
      <c r="D35" s="171"/>
      <c r="E35" s="11"/>
      <c r="F35" s="306"/>
      <c r="G35" s="307"/>
      <c r="H35" s="171"/>
      <c r="I35" s="11"/>
      <c r="J35" s="234"/>
      <c r="K35" s="234"/>
      <c r="L35" s="371"/>
      <c r="M35" s="24"/>
    </row>
    <row r="36" spans="1:14" ht="15.75" x14ac:dyDescent="0.2">
      <c r="A36" s="12" t="s">
        <v>290</v>
      </c>
      <c r="B36" s="234"/>
      <c r="C36" s="307"/>
      <c r="D36" s="171"/>
      <c r="E36" s="11"/>
      <c r="F36" s="317"/>
      <c r="G36" s="318"/>
      <c r="H36" s="171"/>
      <c r="I36" s="377"/>
      <c r="J36" s="234"/>
      <c r="K36" s="234"/>
      <c r="L36" s="371"/>
      <c r="M36" s="24"/>
    </row>
    <row r="37" spans="1:14" ht="15.75" x14ac:dyDescent="0.2">
      <c r="A37" s="12" t="s">
        <v>379</v>
      </c>
      <c r="B37" s="234"/>
      <c r="C37" s="307"/>
      <c r="D37" s="171"/>
      <c r="E37" s="11"/>
      <c r="F37" s="317"/>
      <c r="G37" s="319"/>
      <c r="H37" s="171"/>
      <c r="I37" s="377"/>
      <c r="J37" s="234"/>
      <c r="K37" s="234"/>
      <c r="L37" s="371"/>
      <c r="M37" s="24"/>
    </row>
    <row r="38" spans="1:14" ht="15.75" x14ac:dyDescent="0.2">
      <c r="A38" s="12" t="s">
        <v>380</v>
      </c>
      <c r="B38" s="234"/>
      <c r="C38" s="307"/>
      <c r="D38" s="171"/>
      <c r="E38" s="24"/>
      <c r="F38" s="317"/>
      <c r="G38" s="318"/>
      <c r="H38" s="171"/>
      <c r="I38" s="377"/>
      <c r="J38" s="234"/>
      <c r="K38" s="234"/>
      <c r="L38" s="371"/>
      <c r="M38" s="24"/>
    </row>
    <row r="39" spans="1:14" ht="15.75" x14ac:dyDescent="0.2">
      <c r="A39" s="18" t="s">
        <v>381</v>
      </c>
      <c r="B39" s="274"/>
      <c r="C39" s="313"/>
      <c r="D39" s="169"/>
      <c r="E39" s="36"/>
      <c r="F39" s="320"/>
      <c r="G39" s="321"/>
      <c r="H39" s="169"/>
      <c r="I39" s="36"/>
      <c r="J39" s="234"/>
      <c r="K39" s="234"/>
      <c r="L39" s="372"/>
      <c r="M39" s="36"/>
    </row>
    <row r="40" spans="1:14" ht="15.75" x14ac:dyDescent="0.25">
      <c r="A40" s="47"/>
      <c r="B40" s="251"/>
      <c r="C40" s="251"/>
      <c r="D40" s="699"/>
      <c r="E40" s="699"/>
      <c r="F40" s="699"/>
      <c r="G40" s="699"/>
      <c r="H40" s="699"/>
      <c r="I40" s="699"/>
      <c r="J40" s="699"/>
      <c r="K40" s="699"/>
      <c r="L40" s="699"/>
      <c r="M40" s="300"/>
    </row>
    <row r="41" spans="1:14" x14ac:dyDescent="0.2">
      <c r="A41" s="155"/>
    </row>
    <row r="42" spans="1:14" ht="15.75" x14ac:dyDescent="0.25">
      <c r="A42" s="147" t="s">
        <v>279</v>
      </c>
      <c r="B42" s="700"/>
      <c r="C42" s="700"/>
      <c r="D42" s="700"/>
      <c r="E42" s="297"/>
      <c r="F42" s="701"/>
      <c r="G42" s="701"/>
      <c r="H42" s="701"/>
      <c r="I42" s="300"/>
      <c r="J42" s="701"/>
      <c r="K42" s="701"/>
      <c r="L42" s="701"/>
      <c r="M42" s="300"/>
    </row>
    <row r="43" spans="1:14" ht="15.75" x14ac:dyDescent="0.25">
      <c r="A43" s="163"/>
      <c r="B43" s="301"/>
      <c r="C43" s="301"/>
      <c r="D43" s="301"/>
      <c r="E43" s="301"/>
      <c r="F43" s="300"/>
      <c r="G43" s="300"/>
      <c r="H43" s="300"/>
      <c r="I43" s="300"/>
      <c r="J43" s="300"/>
      <c r="K43" s="300"/>
      <c r="L43" s="300"/>
      <c r="M43" s="300"/>
    </row>
    <row r="44" spans="1:14" ht="15.75" x14ac:dyDescent="0.25">
      <c r="A44" s="245"/>
      <c r="B44" s="696" t="s">
        <v>0</v>
      </c>
      <c r="C44" s="697"/>
      <c r="D44" s="697"/>
      <c r="E44" s="241"/>
      <c r="F44" s="300"/>
      <c r="G44" s="300"/>
      <c r="H44" s="300"/>
      <c r="I44" s="300"/>
      <c r="J44" s="300"/>
      <c r="K44" s="300"/>
      <c r="L44" s="300"/>
      <c r="M44" s="300"/>
    </row>
    <row r="45" spans="1:14" s="3" customFormat="1" x14ac:dyDescent="0.2">
      <c r="A45" s="140"/>
      <c r="B45" s="152" t="s">
        <v>422</v>
      </c>
      <c r="C45" s="152" t="s">
        <v>423</v>
      </c>
      <c r="D45" s="162" t="s">
        <v>3</v>
      </c>
      <c r="E45" s="162" t="s">
        <v>29</v>
      </c>
      <c r="F45" s="174"/>
      <c r="G45" s="174"/>
      <c r="H45" s="173"/>
      <c r="I45" s="173"/>
      <c r="J45" s="174"/>
      <c r="K45" s="174"/>
      <c r="L45" s="173"/>
      <c r="M45" s="173"/>
      <c r="N45" s="148"/>
    </row>
    <row r="46" spans="1:14" s="3" customFormat="1" x14ac:dyDescent="0.2">
      <c r="A46" s="666"/>
      <c r="B46" s="242"/>
      <c r="C46" s="242"/>
      <c r="D46" s="243" t="s">
        <v>4</v>
      </c>
      <c r="E46" s="156" t="s">
        <v>30</v>
      </c>
      <c r="F46" s="173"/>
      <c r="G46" s="173"/>
      <c r="H46" s="173"/>
      <c r="I46" s="173"/>
      <c r="J46" s="173"/>
      <c r="K46" s="173"/>
      <c r="L46" s="173"/>
      <c r="M46" s="173"/>
      <c r="N46" s="148"/>
    </row>
    <row r="47" spans="1:14" s="3" customFormat="1" ht="15.75" x14ac:dyDescent="0.2">
      <c r="A47" s="14" t="s">
        <v>23</v>
      </c>
      <c r="B47" s="308">
        <v>23683</v>
      </c>
      <c r="C47" s="309">
        <v>26907</v>
      </c>
      <c r="D47" s="370">
        <f t="shared" ref="D47:D57" si="0">IF(B47=0, "    ---- ", IF(ABS(ROUND(100/B47*C47-100,1))&lt;999,ROUND(100/B47*C47-100,1),IF(ROUND(100/B47*C47-100,1)&gt;999,999,-999)))</f>
        <v>13.6</v>
      </c>
      <c r="E47" s="11">
        <f>IFERROR(100/'Skjema total MA'!C47*C47,0)</f>
        <v>0.83341979580294778</v>
      </c>
      <c r="F47" s="145"/>
      <c r="G47" s="33"/>
      <c r="H47" s="159"/>
      <c r="I47" s="159"/>
      <c r="J47" s="37"/>
      <c r="K47" s="37"/>
      <c r="L47" s="159"/>
      <c r="M47" s="159"/>
      <c r="N47" s="148"/>
    </row>
    <row r="48" spans="1:14" s="3" customFormat="1" ht="15.75" x14ac:dyDescent="0.2">
      <c r="A48" s="38" t="s">
        <v>382</v>
      </c>
      <c r="B48" s="279">
        <v>23683</v>
      </c>
      <c r="C48" s="280">
        <v>26907</v>
      </c>
      <c r="D48" s="252">
        <f t="shared" si="0"/>
        <v>13.6</v>
      </c>
      <c r="E48" s="27">
        <f>IFERROR(100/'Skjema total MA'!C48*C48,0)</f>
        <v>1.4808324377060786</v>
      </c>
      <c r="F48" s="145"/>
      <c r="G48" s="33"/>
      <c r="H48" s="145"/>
      <c r="I48" s="145"/>
      <c r="J48" s="33"/>
      <c r="K48" s="33"/>
      <c r="L48" s="159"/>
      <c r="M48" s="159"/>
      <c r="N48" s="148"/>
    </row>
    <row r="49" spans="1:14" s="3" customFormat="1" ht="15.75" x14ac:dyDescent="0.2">
      <c r="A49" s="38" t="s">
        <v>383</v>
      </c>
      <c r="B49" s="44"/>
      <c r="C49" s="285"/>
      <c r="D49" s="252"/>
      <c r="E49" s="27"/>
      <c r="F49" s="145"/>
      <c r="G49" s="33"/>
      <c r="H49" s="145"/>
      <c r="I49" s="145"/>
      <c r="J49" s="37"/>
      <c r="K49" s="37"/>
      <c r="L49" s="159"/>
      <c r="M49" s="159"/>
      <c r="N49" s="148"/>
    </row>
    <row r="50" spans="1:14" s="3" customFormat="1" x14ac:dyDescent="0.2">
      <c r="A50" s="294" t="s">
        <v>6</v>
      </c>
      <c r="B50" s="288"/>
      <c r="C50" s="289"/>
      <c r="D50" s="252"/>
      <c r="E50" s="23"/>
      <c r="F50" s="145"/>
      <c r="G50" s="33"/>
      <c r="H50" s="145"/>
      <c r="I50" s="145"/>
      <c r="J50" s="33"/>
      <c r="K50" s="33"/>
      <c r="L50" s="159"/>
      <c r="M50" s="159"/>
      <c r="N50" s="148"/>
    </row>
    <row r="51" spans="1:14" s="3" customFormat="1" x14ac:dyDescent="0.2">
      <c r="A51" s="294" t="s">
        <v>7</v>
      </c>
      <c r="B51" s="288"/>
      <c r="C51" s="289"/>
      <c r="D51" s="252"/>
      <c r="E51" s="23"/>
      <c r="F51" s="145"/>
      <c r="G51" s="33"/>
      <c r="H51" s="145"/>
      <c r="I51" s="145"/>
      <c r="J51" s="33"/>
      <c r="K51" s="33"/>
      <c r="L51" s="159"/>
      <c r="M51" s="159"/>
      <c r="N51" s="148"/>
    </row>
    <row r="52" spans="1:14" s="3" customFormat="1" x14ac:dyDescent="0.2">
      <c r="A52" s="294" t="s">
        <v>8</v>
      </c>
      <c r="B52" s="288"/>
      <c r="C52" s="289"/>
      <c r="D52" s="252"/>
      <c r="E52" s="23"/>
      <c r="F52" s="145"/>
      <c r="G52" s="33"/>
      <c r="H52" s="145"/>
      <c r="I52" s="145"/>
      <c r="J52" s="33"/>
      <c r="K52" s="33"/>
      <c r="L52" s="159"/>
      <c r="M52" s="159"/>
      <c r="N52" s="148"/>
    </row>
    <row r="53" spans="1:14" s="3" customFormat="1" ht="15.75" x14ac:dyDescent="0.2">
      <c r="A53" s="39" t="s">
        <v>384</v>
      </c>
      <c r="B53" s="308">
        <v>0</v>
      </c>
      <c r="C53" s="309">
        <v>802</v>
      </c>
      <c r="D53" s="371" t="str">
        <f t="shared" si="0"/>
        <v xml:space="preserve">    ---- </v>
      </c>
      <c r="E53" s="11">
        <f>IFERROR(100/'Skjema total MA'!C53*C53,0)</f>
        <v>0.42046566394029117</v>
      </c>
      <c r="F53" s="145"/>
      <c r="G53" s="33"/>
      <c r="H53" s="145"/>
      <c r="I53" s="145"/>
      <c r="J53" s="33"/>
      <c r="K53" s="33"/>
      <c r="L53" s="159"/>
      <c r="M53" s="159"/>
      <c r="N53" s="148"/>
    </row>
    <row r="54" spans="1:14" s="3" customFormat="1" ht="15.75" x14ac:dyDescent="0.2">
      <c r="A54" s="38" t="s">
        <v>382</v>
      </c>
      <c r="B54" s="279">
        <v>0</v>
      </c>
      <c r="C54" s="280">
        <v>802</v>
      </c>
      <c r="D54" s="252" t="str">
        <f t="shared" si="0"/>
        <v xml:space="preserve">    ---- </v>
      </c>
      <c r="E54" s="27">
        <f>IFERROR(100/'Skjema total MA'!C54*C54,0)</f>
        <v>0.77349737958955689</v>
      </c>
      <c r="F54" s="145"/>
      <c r="G54" s="33"/>
      <c r="H54" s="145"/>
      <c r="I54" s="145"/>
      <c r="J54" s="33"/>
      <c r="K54" s="33"/>
      <c r="L54" s="159"/>
      <c r="M54" s="159"/>
      <c r="N54" s="148"/>
    </row>
    <row r="55" spans="1:14" s="3" customFormat="1" ht="15.75" x14ac:dyDescent="0.2">
      <c r="A55" s="38" t="s">
        <v>383</v>
      </c>
      <c r="B55" s="279"/>
      <c r="C55" s="280"/>
      <c r="D55" s="252"/>
      <c r="E55" s="27"/>
      <c r="F55" s="145"/>
      <c r="G55" s="33"/>
      <c r="H55" s="145"/>
      <c r="I55" s="145"/>
      <c r="J55" s="33"/>
      <c r="K55" s="33"/>
      <c r="L55" s="159"/>
      <c r="M55" s="159"/>
      <c r="N55" s="148"/>
    </row>
    <row r="56" spans="1:14" s="3" customFormat="1" ht="15.75" x14ac:dyDescent="0.2">
      <c r="A56" s="39" t="s">
        <v>385</v>
      </c>
      <c r="B56" s="308">
        <v>226</v>
      </c>
      <c r="C56" s="309">
        <v>586</v>
      </c>
      <c r="D56" s="371">
        <f t="shared" si="0"/>
        <v>159.30000000000001</v>
      </c>
      <c r="E56" s="11">
        <f>IFERROR(100/'Skjema total MA'!C56*C56,0)</f>
        <v>0.37664659720913485</v>
      </c>
      <c r="F56" s="145"/>
      <c r="G56" s="33"/>
      <c r="H56" s="145"/>
      <c r="I56" s="145"/>
      <c r="J56" s="33"/>
      <c r="K56" s="33"/>
      <c r="L56" s="159"/>
      <c r="M56" s="159"/>
      <c r="N56" s="148"/>
    </row>
    <row r="57" spans="1:14" s="3" customFormat="1" ht="15.75" x14ac:dyDescent="0.2">
      <c r="A57" s="38" t="s">
        <v>382</v>
      </c>
      <c r="B57" s="279">
        <v>226</v>
      </c>
      <c r="C57" s="280">
        <v>586</v>
      </c>
      <c r="D57" s="252">
        <f t="shared" si="0"/>
        <v>159.30000000000001</v>
      </c>
      <c r="E57" s="27">
        <f>IFERROR(100/'Skjema total MA'!C57*C57,0)</f>
        <v>0.65849357032719191</v>
      </c>
      <c r="F57" s="145"/>
      <c r="G57" s="33"/>
      <c r="H57" s="145"/>
      <c r="I57" s="145"/>
      <c r="J57" s="33"/>
      <c r="K57" s="33"/>
      <c r="L57" s="159"/>
      <c r="M57" s="159"/>
      <c r="N57" s="148"/>
    </row>
    <row r="58" spans="1:14" s="3" customFormat="1" ht="15.75" x14ac:dyDescent="0.2">
      <c r="A58" s="46" t="s">
        <v>383</v>
      </c>
      <c r="B58" s="281"/>
      <c r="C58" s="282"/>
      <c r="D58" s="253"/>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95"/>
      <c r="C62" s="695"/>
      <c r="D62" s="695"/>
      <c r="E62" s="297"/>
      <c r="F62" s="695"/>
      <c r="G62" s="695"/>
      <c r="H62" s="695"/>
      <c r="I62" s="297"/>
      <c r="J62" s="695"/>
      <c r="K62" s="695"/>
      <c r="L62" s="695"/>
      <c r="M62" s="297"/>
    </row>
    <row r="63" spans="1:14" x14ac:dyDescent="0.2">
      <c r="A63" s="144"/>
      <c r="B63" s="696" t="s">
        <v>0</v>
      </c>
      <c r="C63" s="697"/>
      <c r="D63" s="698"/>
      <c r="E63" s="298"/>
      <c r="F63" s="697" t="s">
        <v>1</v>
      </c>
      <c r="G63" s="697"/>
      <c r="H63" s="697"/>
      <c r="I63" s="302"/>
      <c r="J63" s="696" t="s">
        <v>2</v>
      </c>
      <c r="K63" s="697"/>
      <c r="L63" s="697"/>
      <c r="M63" s="302"/>
    </row>
    <row r="64" spans="1:14" x14ac:dyDescent="0.2">
      <c r="A64" s="140"/>
      <c r="B64" s="152" t="s">
        <v>422</v>
      </c>
      <c r="C64" s="152" t="s">
        <v>423</v>
      </c>
      <c r="D64" s="243" t="s">
        <v>3</v>
      </c>
      <c r="E64" s="303" t="s">
        <v>29</v>
      </c>
      <c r="F64" s="152" t="s">
        <v>422</v>
      </c>
      <c r="G64" s="152" t="s">
        <v>423</v>
      </c>
      <c r="H64" s="243" t="s">
        <v>3</v>
      </c>
      <c r="I64" s="303" t="s">
        <v>29</v>
      </c>
      <c r="J64" s="152" t="s">
        <v>422</v>
      </c>
      <c r="K64" s="152" t="s">
        <v>423</v>
      </c>
      <c r="L64" s="243" t="s">
        <v>3</v>
      </c>
      <c r="M64" s="162" t="s">
        <v>29</v>
      </c>
    </row>
    <row r="65" spans="1:14" x14ac:dyDescent="0.2">
      <c r="A65" s="666"/>
      <c r="B65" s="156"/>
      <c r="C65" s="156"/>
      <c r="D65" s="244" t="s">
        <v>4</v>
      </c>
      <c r="E65" s="156" t="s">
        <v>30</v>
      </c>
      <c r="F65" s="161"/>
      <c r="G65" s="161"/>
      <c r="H65" s="243" t="s">
        <v>4</v>
      </c>
      <c r="I65" s="156" t="s">
        <v>30</v>
      </c>
      <c r="J65" s="161"/>
      <c r="K65" s="205"/>
      <c r="L65" s="156" t="s">
        <v>4</v>
      </c>
      <c r="M65" s="156" t="s">
        <v>30</v>
      </c>
    </row>
    <row r="66" spans="1:14" ht="15.75" x14ac:dyDescent="0.2">
      <c r="A66" s="14" t="s">
        <v>23</v>
      </c>
      <c r="B66" s="350"/>
      <c r="C66" s="350"/>
      <c r="D66" s="347"/>
      <c r="E66" s="11"/>
      <c r="F66" s="349"/>
      <c r="G66" s="349"/>
      <c r="H66" s="347"/>
      <c r="I66" s="11"/>
      <c r="J66" s="307"/>
      <c r="K66" s="314"/>
      <c r="L66" s="371"/>
      <c r="M66" s="11"/>
    </row>
    <row r="67" spans="1:14" x14ac:dyDescent="0.2">
      <c r="A67" s="365" t="s">
        <v>9</v>
      </c>
      <c r="B67" s="44"/>
      <c r="C67" s="145"/>
      <c r="D67" s="166"/>
      <c r="E67" s="27"/>
      <c r="F67" s="232"/>
      <c r="G67" s="145"/>
      <c r="H67" s="166"/>
      <c r="I67" s="27"/>
      <c r="J67" s="285"/>
      <c r="K67" s="44"/>
      <c r="L67" s="252"/>
      <c r="M67" s="27"/>
    </row>
    <row r="68" spans="1:14" x14ac:dyDescent="0.2">
      <c r="A68" s="21" t="s">
        <v>10</v>
      </c>
      <c r="B68" s="290"/>
      <c r="C68" s="291"/>
      <c r="D68" s="166"/>
      <c r="E68" s="27"/>
      <c r="F68" s="290"/>
      <c r="G68" s="291"/>
      <c r="H68" s="166"/>
      <c r="I68" s="27"/>
      <c r="J68" s="285"/>
      <c r="K68" s="44"/>
      <c r="L68" s="252"/>
      <c r="M68" s="27"/>
    </row>
    <row r="69" spans="1:14" ht="15.75" x14ac:dyDescent="0.2">
      <c r="A69" s="294" t="s">
        <v>386</v>
      </c>
      <c r="B69" s="279"/>
      <c r="C69" s="279"/>
      <c r="D69" s="166"/>
      <c r="E69" s="363"/>
      <c r="F69" s="279"/>
      <c r="G69" s="279"/>
      <c r="H69" s="166"/>
      <c r="I69" s="363"/>
      <c r="J69" s="288"/>
      <c r="K69" s="288"/>
      <c r="L69" s="166"/>
      <c r="M69" s="23"/>
    </row>
    <row r="70" spans="1:14" x14ac:dyDescent="0.2">
      <c r="A70" s="294" t="s">
        <v>12</v>
      </c>
      <c r="B70" s="292"/>
      <c r="C70" s="293"/>
      <c r="D70" s="166"/>
      <c r="E70" s="363"/>
      <c r="F70" s="279"/>
      <c r="G70" s="279"/>
      <c r="H70" s="166"/>
      <c r="I70" s="363"/>
      <c r="J70" s="288"/>
      <c r="K70" s="288"/>
      <c r="L70" s="166"/>
      <c r="M70" s="23"/>
    </row>
    <row r="71" spans="1:14" x14ac:dyDescent="0.2">
      <c r="A71" s="294" t="s">
        <v>13</v>
      </c>
      <c r="B71" s="233"/>
      <c r="C71" s="287"/>
      <c r="D71" s="166"/>
      <c r="E71" s="363"/>
      <c r="F71" s="279"/>
      <c r="G71" s="279"/>
      <c r="H71" s="166"/>
      <c r="I71" s="363"/>
      <c r="J71" s="288"/>
      <c r="K71" s="288"/>
      <c r="L71" s="166"/>
      <c r="M71" s="23"/>
    </row>
    <row r="72" spans="1:14" ht="15.75" x14ac:dyDescent="0.2">
      <c r="A72" s="294" t="s">
        <v>387</v>
      </c>
      <c r="B72" s="279"/>
      <c r="C72" s="279"/>
      <c r="D72" s="166"/>
      <c r="E72" s="363"/>
      <c r="F72" s="279"/>
      <c r="G72" s="279"/>
      <c r="H72" s="166"/>
      <c r="I72" s="363"/>
      <c r="J72" s="288"/>
      <c r="K72" s="288"/>
      <c r="L72" s="166"/>
      <c r="M72" s="23"/>
    </row>
    <row r="73" spans="1:14" x14ac:dyDescent="0.2">
      <c r="A73" s="294" t="s">
        <v>12</v>
      </c>
      <c r="B73" s="233"/>
      <c r="C73" s="287"/>
      <c r="D73" s="166"/>
      <c r="E73" s="363"/>
      <c r="F73" s="279"/>
      <c r="G73" s="279"/>
      <c r="H73" s="166"/>
      <c r="I73" s="363"/>
      <c r="J73" s="288"/>
      <c r="K73" s="288"/>
      <c r="L73" s="166"/>
      <c r="M73" s="23"/>
    </row>
    <row r="74" spans="1:14" s="3" customFormat="1" x14ac:dyDescent="0.2">
      <c r="A74" s="294" t="s">
        <v>13</v>
      </c>
      <c r="B74" s="233"/>
      <c r="C74" s="287"/>
      <c r="D74" s="166"/>
      <c r="E74" s="363"/>
      <c r="F74" s="279"/>
      <c r="G74" s="279"/>
      <c r="H74" s="166"/>
      <c r="I74" s="363"/>
      <c r="J74" s="288"/>
      <c r="K74" s="288"/>
      <c r="L74" s="166"/>
      <c r="M74" s="23"/>
      <c r="N74" s="148"/>
    </row>
    <row r="75" spans="1:14" s="3" customFormat="1" x14ac:dyDescent="0.2">
      <c r="A75" s="21" t="s">
        <v>356</v>
      </c>
      <c r="B75" s="232"/>
      <c r="C75" s="145"/>
      <c r="D75" s="166"/>
      <c r="E75" s="27"/>
      <c r="F75" s="232"/>
      <c r="G75" s="145"/>
      <c r="H75" s="166"/>
      <c r="I75" s="27"/>
      <c r="J75" s="285"/>
      <c r="K75" s="44"/>
      <c r="L75" s="252"/>
      <c r="M75" s="27"/>
      <c r="N75" s="148"/>
    </row>
    <row r="76" spans="1:14" s="3" customFormat="1" x14ac:dyDescent="0.2">
      <c r="A76" s="21" t="s">
        <v>355</v>
      </c>
      <c r="B76" s="232"/>
      <c r="C76" s="145"/>
      <c r="D76" s="166"/>
      <c r="E76" s="27"/>
      <c r="F76" s="232"/>
      <c r="G76" s="145"/>
      <c r="H76" s="166"/>
      <c r="I76" s="27"/>
      <c r="J76" s="285"/>
      <c r="K76" s="44"/>
      <c r="L76" s="252"/>
      <c r="M76" s="27"/>
      <c r="N76" s="148"/>
    </row>
    <row r="77" spans="1:14" ht="15.75" x14ac:dyDescent="0.2">
      <c r="A77" s="21" t="s">
        <v>388</v>
      </c>
      <c r="B77" s="232"/>
      <c r="C77" s="232"/>
      <c r="D77" s="166"/>
      <c r="E77" s="27"/>
      <c r="F77" s="232"/>
      <c r="G77" s="145"/>
      <c r="H77" s="166"/>
      <c r="I77" s="27"/>
      <c r="J77" s="285"/>
      <c r="K77" s="44"/>
      <c r="L77" s="252"/>
      <c r="M77" s="27"/>
    </row>
    <row r="78" spans="1:14" x14ac:dyDescent="0.2">
      <c r="A78" s="21" t="s">
        <v>9</v>
      </c>
      <c r="B78" s="232"/>
      <c r="C78" s="145"/>
      <c r="D78" s="166"/>
      <c r="E78" s="27"/>
      <c r="F78" s="232"/>
      <c r="G78" s="145"/>
      <c r="H78" s="166"/>
      <c r="I78" s="27"/>
      <c r="J78" s="285"/>
      <c r="K78" s="44"/>
      <c r="L78" s="252"/>
      <c r="M78" s="27"/>
    </row>
    <row r="79" spans="1:14" x14ac:dyDescent="0.2">
      <c r="A79" s="21" t="s">
        <v>10</v>
      </c>
      <c r="B79" s="290"/>
      <c r="C79" s="291"/>
      <c r="D79" s="166"/>
      <c r="E79" s="27"/>
      <c r="F79" s="290"/>
      <c r="G79" s="291"/>
      <c r="H79" s="166"/>
      <c r="I79" s="27"/>
      <c r="J79" s="285"/>
      <c r="K79" s="44"/>
      <c r="L79" s="252"/>
      <c r="M79" s="27"/>
    </row>
    <row r="80" spans="1:14" ht="15.75" x14ac:dyDescent="0.2">
      <c r="A80" s="294" t="s">
        <v>386</v>
      </c>
      <c r="B80" s="279"/>
      <c r="C80" s="279"/>
      <c r="D80" s="166"/>
      <c r="E80" s="363"/>
      <c r="F80" s="279"/>
      <c r="G80" s="279"/>
      <c r="H80" s="166"/>
      <c r="I80" s="363"/>
      <c r="J80" s="288"/>
      <c r="K80" s="288"/>
      <c r="L80" s="166"/>
      <c r="M80" s="23"/>
    </row>
    <row r="81" spans="1:13" x14ac:dyDescent="0.2">
      <c r="A81" s="294" t="s">
        <v>12</v>
      </c>
      <c r="B81" s="233"/>
      <c r="C81" s="287"/>
      <c r="D81" s="166"/>
      <c r="E81" s="363"/>
      <c r="F81" s="279"/>
      <c r="G81" s="279"/>
      <c r="H81" s="166"/>
      <c r="I81" s="363"/>
      <c r="J81" s="288"/>
      <c r="K81" s="288"/>
      <c r="L81" s="166"/>
      <c r="M81" s="23"/>
    </row>
    <row r="82" spans="1:13" x14ac:dyDescent="0.2">
      <c r="A82" s="294" t="s">
        <v>13</v>
      </c>
      <c r="B82" s="233"/>
      <c r="C82" s="287"/>
      <c r="D82" s="166"/>
      <c r="E82" s="363"/>
      <c r="F82" s="279"/>
      <c r="G82" s="279"/>
      <c r="H82" s="166"/>
      <c r="I82" s="363"/>
      <c r="J82" s="288"/>
      <c r="K82" s="288"/>
      <c r="L82" s="166"/>
      <c r="M82" s="23"/>
    </row>
    <row r="83" spans="1:13" ht="15.75" x14ac:dyDescent="0.2">
      <c r="A83" s="294" t="s">
        <v>387</v>
      </c>
      <c r="B83" s="279"/>
      <c r="C83" s="279"/>
      <c r="D83" s="166"/>
      <c r="E83" s="363"/>
      <c r="F83" s="279"/>
      <c r="G83" s="279"/>
      <c r="H83" s="166"/>
      <c r="I83" s="363"/>
      <c r="J83" s="288"/>
      <c r="K83" s="288"/>
      <c r="L83" s="166"/>
      <c r="M83" s="23"/>
    </row>
    <row r="84" spans="1:13" x14ac:dyDescent="0.2">
      <c r="A84" s="294" t="s">
        <v>12</v>
      </c>
      <c r="B84" s="233"/>
      <c r="C84" s="287"/>
      <c r="D84" s="166"/>
      <c r="E84" s="363"/>
      <c r="F84" s="279"/>
      <c r="G84" s="279"/>
      <c r="H84" s="166"/>
      <c r="I84" s="363"/>
      <c r="J84" s="288"/>
      <c r="K84" s="288"/>
      <c r="L84" s="166"/>
      <c r="M84" s="23"/>
    </row>
    <row r="85" spans="1:13" x14ac:dyDescent="0.2">
      <c r="A85" s="294" t="s">
        <v>13</v>
      </c>
      <c r="B85" s="233"/>
      <c r="C85" s="287"/>
      <c r="D85" s="166"/>
      <c r="E85" s="363"/>
      <c r="F85" s="279"/>
      <c r="G85" s="279"/>
      <c r="H85" s="166"/>
      <c r="I85" s="363"/>
      <c r="J85" s="288"/>
      <c r="K85" s="288"/>
      <c r="L85" s="166"/>
      <c r="M85" s="23"/>
    </row>
    <row r="86" spans="1:13" ht="15.75" x14ac:dyDescent="0.2">
      <c r="A86" s="21" t="s">
        <v>389</v>
      </c>
      <c r="B86" s="232"/>
      <c r="C86" s="145"/>
      <c r="D86" s="166"/>
      <c r="E86" s="27"/>
      <c r="F86" s="232"/>
      <c r="G86" s="145"/>
      <c r="H86" s="166"/>
      <c r="I86" s="27"/>
      <c r="J86" s="285"/>
      <c r="K86" s="44"/>
      <c r="L86" s="252"/>
      <c r="M86" s="27"/>
    </row>
    <row r="87" spans="1:13" ht="15.75" x14ac:dyDescent="0.2">
      <c r="A87" s="13" t="s">
        <v>371</v>
      </c>
      <c r="B87" s="350"/>
      <c r="C87" s="350"/>
      <c r="D87" s="171"/>
      <c r="E87" s="11"/>
      <c r="F87" s="349"/>
      <c r="G87" s="349"/>
      <c r="H87" s="171"/>
      <c r="I87" s="11"/>
      <c r="J87" s="307"/>
      <c r="K87" s="234"/>
      <c r="L87" s="371"/>
      <c r="M87" s="11"/>
    </row>
    <row r="88" spans="1:13" x14ac:dyDescent="0.2">
      <c r="A88" s="21" t="s">
        <v>9</v>
      </c>
      <c r="B88" s="232"/>
      <c r="C88" s="145"/>
      <c r="D88" s="166"/>
      <c r="E88" s="27"/>
      <c r="F88" s="232"/>
      <c r="G88" s="145"/>
      <c r="H88" s="166"/>
      <c r="I88" s="27"/>
      <c r="J88" s="285"/>
      <c r="K88" s="44"/>
      <c r="L88" s="252"/>
      <c r="M88" s="27"/>
    </row>
    <row r="89" spans="1:13" x14ac:dyDescent="0.2">
      <c r="A89" s="21" t="s">
        <v>10</v>
      </c>
      <c r="B89" s="232"/>
      <c r="C89" s="145"/>
      <c r="D89" s="166"/>
      <c r="E89" s="27"/>
      <c r="F89" s="232"/>
      <c r="G89" s="145"/>
      <c r="H89" s="166"/>
      <c r="I89" s="27"/>
      <c r="J89" s="285"/>
      <c r="K89" s="44"/>
      <c r="L89" s="252"/>
      <c r="M89" s="27"/>
    </row>
    <row r="90" spans="1:13" ht="15.75" x14ac:dyDescent="0.2">
      <c r="A90" s="294" t="s">
        <v>386</v>
      </c>
      <c r="B90" s="279"/>
      <c r="C90" s="279"/>
      <c r="D90" s="166"/>
      <c r="E90" s="363"/>
      <c r="F90" s="279"/>
      <c r="G90" s="279"/>
      <c r="H90" s="166"/>
      <c r="I90" s="363"/>
      <c r="J90" s="288"/>
      <c r="K90" s="288"/>
      <c r="L90" s="166"/>
      <c r="M90" s="23"/>
    </row>
    <row r="91" spans="1:13" x14ac:dyDescent="0.2">
      <c r="A91" s="294" t="s">
        <v>12</v>
      </c>
      <c r="B91" s="233"/>
      <c r="C91" s="287"/>
      <c r="D91" s="166"/>
      <c r="E91" s="363"/>
      <c r="F91" s="279"/>
      <c r="G91" s="279"/>
      <c r="H91" s="166"/>
      <c r="I91" s="363"/>
      <c r="J91" s="288"/>
      <c r="K91" s="288"/>
      <c r="L91" s="166"/>
      <c r="M91" s="23"/>
    </row>
    <row r="92" spans="1:13" x14ac:dyDescent="0.2">
      <c r="A92" s="294" t="s">
        <v>13</v>
      </c>
      <c r="B92" s="233"/>
      <c r="C92" s="287"/>
      <c r="D92" s="166"/>
      <c r="E92" s="363"/>
      <c r="F92" s="279"/>
      <c r="G92" s="279"/>
      <c r="H92" s="166"/>
      <c r="I92" s="363"/>
      <c r="J92" s="288"/>
      <c r="K92" s="288"/>
      <c r="L92" s="166"/>
      <c r="M92" s="23"/>
    </row>
    <row r="93" spans="1:13" ht="15.75" x14ac:dyDescent="0.2">
      <c r="A93" s="294" t="s">
        <v>387</v>
      </c>
      <c r="B93" s="279"/>
      <c r="C93" s="279"/>
      <c r="D93" s="166"/>
      <c r="E93" s="363"/>
      <c r="F93" s="279"/>
      <c r="G93" s="279"/>
      <c r="H93" s="166"/>
      <c r="I93" s="363"/>
      <c r="J93" s="288"/>
      <c r="K93" s="288"/>
      <c r="L93" s="166"/>
      <c r="M93" s="23"/>
    </row>
    <row r="94" spans="1:13" x14ac:dyDescent="0.2">
      <c r="A94" s="294" t="s">
        <v>12</v>
      </c>
      <c r="B94" s="233"/>
      <c r="C94" s="287"/>
      <c r="D94" s="166"/>
      <c r="E94" s="363"/>
      <c r="F94" s="279"/>
      <c r="G94" s="279"/>
      <c r="H94" s="166"/>
      <c r="I94" s="363"/>
      <c r="J94" s="288"/>
      <c r="K94" s="288"/>
      <c r="L94" s="166"/>
      <c r="M94" s="23"/>
    </row>
    <row r="95" spans="1:13" x14ac:dyDescent="0.2">
      <c r="A95" s="294" t="s">
        <v>13</v>
      </c>
      <c r="B95" s="233"/>
      <c r="C95" s="287"/>
      <c r="D95" s="166"/>
      <c r="E95" s="363"/>
      <c r="F95" s="279"/>
      <c r="G95" s="279"/>
      <c r="H95" s="166"/>
      <c r="I95" s="363"/>
      <c r="J95" s="288"/>
      <c r="K95" s="288"/>
      <c r="L95" s="166"/>
      <c r="M95" s="23"/>
    </row>
    <row r="96" spans="1:13" x14ac:dyDescent="0.2">
      <c r="A96" s="21" t="s">
        <v>354</v>
      </c>
      <c r="B96" s="232"/>
      <c r="C96" s="145"/>
      <c r="D96" s="166"/>
      <c r="E96" s="27"/>
      <c r="F96" s="232"/>
      <c r="G96" s="145"/>
      <c r="H96" s="166"/>
      <c r="I96" s="27"/>
      <c r="J96" s="285"/>
      <c r="K96" s="44"/>
      <c r="L96" s="252"/>
      <c r="M96" s="27"/>
    </row>
    <row r="97" spans="1:13" x14ac:dyDescent="0.2">
      <c r="A97" s="21" t="s">
        <v>353</v>
      </c>
      <c r="B97" s="232"/>
      <c r="C97" s="145"/>
      <c r="D97" s="166"/>
      <c r="E97" s="27"/>
      <c r="F97" s="232"/>
      <c r="G97" s="145"/>
      <c r="H97" s="166"/>
      <c r="I97" s="27"/>
      <c r="J97" s="285"/>
      <c r="K97" s="44"/>
      <c r="L97" s="252"/>
      <c r="M97" s="27"/>
    </row>
    <row r="98" spans="1:13" ht="15.75" x14ac:dyDescent="0.2">
      <c r="A98" s="21" t="s">
        <v>388</v>
      </c>
      <c r="B98" s="232"/>
      <c r="C98" s="232"/>
      <c r="D98" s="166"/>
      <c r="E98" s="27"/>
      <c r="F98" s="290"/>
      <c r="G98" s="290"/>
      <c r="H98" s="166"/>
      <c r="I98" s="27"/>
      <c r="J98" s="285"/>
      <c r="K98" s="44"/>
      <c r="L98" s="252"/>
      <c r="M98" s="27"/>
    </row>
    <row r="99" spans="1:13" x14ac:dyDescent="0.2">
      <c r="A99" s="21" t="s">
        <v>9</v>
      </c>
      <c r="B99" s="290"/>
      <c r="C99" s="291"/>
      <c r="D99" s="166"/>
      <c r="E99" s="27"/>
      <c r="F99" s="232"/>
      <c r="G99" s="145"/>
      <c r="H99" s="166"/>
      <c r="I99" s="27"/>
      <c r="J99" s="285"/>
      <c r="K99" s="44"/>
      <c r="L99" s="252"/>
      <c r="M99" s="27"/>
    </row>
    <row r="100" spans="1:13" x14ac:dyDescent="0.2">
      <c r="A100" s="21" t="s">
        <v>10</v>
      </c>
      <c r="B100" s="290"/>
      <c r="C100" s="291"/>
      <c r="D100" s="166"/>
      <c r="E100" s="27"/>
      <c r="F100" s="232"/>
      <c r="G100" s="232"/>
      <c r="H100" s="166"/>
      <c r="I100" s="27"/>
      <c r="J100" s="285"/>
      <c r="K100" s="44"/>
      <c r="L100" s="252"/>
      <c r="M100" s="27"/>
    </row>
    <row r="101" spans="1:13" ht="15.75" x14ac:dyDescent="0.2">
      <c r="A101" s="294" t="s">
        <v>386</v>
      </c>
      <c r="B101" s="279"/>
      <c r="C101" s="279"/>
      <c r="D101" s="166"/>
      <c r="E101" s="363"/>
      <c r="F101" s="279"/>
      <c r="G101" s="279"/>
      <c r="H101" s="166"/>
      <c r="I101" s="363"/>
      <c r="J101" s="288"/>
      <c r="K101" s="288"/>
      <c r="L101" s="166"/>
      <c r="M101" s="23"/>
    </row>
    <row r="102" spans="1:13" x14ac:dyDescent="0.2">
      <c r="A102" s="294" t="s">
        <v>12</v>
      </c>
      <c r="B102" s="233"/>
      <c r="C102" s="287"/>
      <c r="D102" s="166"/>
      <c r="E102" s="363"/>
      <c r="F102" s="279"/>
      <c r="G102" s="279"/>
      <c r="H102" s="166"/>
      <c r="I102" s="363"/>
      <c r="J102" s="288"/>
      <c r="K102" s="288"/>
      <c r="L102" s="166"/>
      <c r="M102" s="23"/>
    </row>
    <row r="103" spans="1:13" x14ac:dyDescent="0.2">
      <c r="A103" s="294" t="s">
        <v>13</v>
      </c>
      <c r="B103" s="233"/>
      <c r="C103" s="287"/>
      <c r="D103" s="166"/>
      <c r="E103" s="363"/>
      <c r="F103" s="279"/>
      <c r="G103" s="279"/>
      <c r="H103" s="166"/>
      <c r="I103" s="363"/>
      <c r="J103" s="288"/>
      <c r="K103" s="288"/>
      <c r="L103" s="166"/>
      <c r="M103" s="23"/>
    </row>
    <row r="104" spans="1:13" ht="15.75" x14ac:dyDescent="0.2">
      <c r="A104" s="294" t="s">
        <v>387</v>
      </c>
      <c r="B104" s="279"/>
      <c r="C104" s="279"/>
      <c r="D104" s="166"/>
      <c r="E104" s="363"/>
      <c r="F104" s="279"/>
      <c r="G104" s="279"/>
      <c r="H104" s="166"/>
      <c r="I104" s="363"/>
      <c r="J104" s="288"/>
      <c r="K104" s="288"/>
      <c r="L104" s="166"/>
      <c r="M104" s="23"/>
    </row>
    <row r="105" spans="1:13" x14ac:dyDescent="0.2">
      <c r="A105" s="294" t="s">
        <v>12</v>
      </c>
      <c r="B105" s="233"/>
      <c r="C105" s="287"/>
      <c r="D105" s="166"/>
      <c r="E105" s="363"/>
      <c r="F105" s="279"/>
      <c r="G105" s="279"/>
      <c r="H105" s="166"/>
      <c r="I105" s="363"/>
      <c r="J105" s="288"/>
      <c r="K105" s="288"/>
      <c r="L105" s="166"/>
      <c r="M105" s="23"/>
    </row>
    <row r="106" spans="1:13" x14ac:dyDescent="0.2">
      <c r="A106" s="294" t="s">
        <v>13</v>
      </c>
      <c r="B106" s="233"/>
      <c r="C106" s="287"/>
      <c r="D106" s="166"/>
      <c r="E106" s="363"/>
      <c r="F106" s="279"/>
      <c r="G106" s="279"/>
      <c r="H106" s="166"/>
      <c r="I106" s="363"/>
      <c r="J106" s="288"/>
      <c r="K106" s="288"/>
      <c r="L106" s="166"/>
      <c r="M106" s="23"/>
    </row>
    <row r="107" spans="1:13" ht="15.75" x14ac:dyDescent="0.2">
      <c r="A107" s="21" t="s">
        <v>389</v>
      </c>
      <c r="B107" s="232"/>
      <c r="C107" s="145"/>
      <c r="D107" s="166"/>
      <c r="E107" s="27"/>
      <c r="F107" s="232"/>
      <c r="G107" s="145"/>
      <c r="H107" s="166"/>
      <c r="I107" s="27"/>
      <c r="J107" s="285"/>
      <c r="K107" s="44"/>
      <c r="L107" s="252"/>
      <c r="M107" s="27"/>
    </row>
    <row r="108" spans="1:13" ht="15.75" x14ac:dyDescent="0.2">
      <c r="A108" s="21" t="s">
        <v>390</v>
      </c>
      <c r="B108" s="232"/>
      <c r="C108" s="232"/>
      <c r="D108" s="166"/>
      <c r="E108" s="27"/>
      <c r="F108" s="232"/>
      <c r="G108" s="232"/>
      <c r="H108" s="166"/>
      <c r="I108" s="27"/>
      <c r="J108" s="285"/>
      <c r="K108" s="44"/>
      <c r="L108" s="252"/>
      <c r="M108" s="27"/>
    </row>
    <row r="109" spans="1:13" ht="15.75" x14ac:dyDescent="0.2">
      <c r="A109" s="21" t="s">
        <v>391</v>
      </c>
      <c r="B109" s="232"/>
      <c r="C109" s="232"/>
      <c r="D109" s="166"/>
      <c r="E109" s="27"/>
      <c r="F109" s="232"/>
      <c r="G109" s="232"/>
      <c r="H109" s="166"/>
      <c r="I109" s="27"/>
      <c r="J109" s="285"/>
      <c r="K109" s="44"/>
      <c r="L109" s="252"/>
      <c r="M109" s="27"/>
    </row>
    <row r="110" spans="1:13" ht="15.75" x14ac:dyDescent="0.2">
      <c r="A110" s="21" t="s">
        <v>392</v>
      </c>
      <c r="B110" s="232"/>
      <c r="C110" s="232"/>
      <c r="D110" s="166"/>
      <c r="E110" s="27"/>
      <c r="F110" s="232"/>
      <c r="G110" s="232"/>
      <c r="H110" s="166"/>
      <c r="I110" s="27"/>
      <c r="J110" s="285"/>
      <c r="K110" s="44"/>
      <c r="L110" s="252"/>
      <c r="M110" s="27"/>
    </row>
    <row r="111" spans="1:13" ht="15.75" x14ac:dyDescent="0.2">
      <c r="A111" s="13" t="s">
        <v>372</v>
      </c>
      <c r="B111" s="306"/>
      <c r="C111" s="159"/>
      <c r="D111" s="171"/>
      <c r="E111" s="11"/>
      <c r="F111" s="306"/>
      <c r="G111" s="159"/>
      <c r="H111" s="171"/>
      <c r="I111" s="11"/>
      <c r="J111" s="307"/>
      <c r="K111" s="234"/>
      <c r="L111" s="371"/>
      <c r="M111" s="11"/>
    </row>
    <row r="112" spans="1:13" x14ac:dyDescent="0.2">
      <c r="A112" s="21" t="s">
        <v>9</v>
      </c>
      <c r="B112" s="232"/>
      <c r="C112" s="145"/>
      <c r="D112" s="166"/>
      <c r="E112" s="27"/>
      <c r="F112" s="232"/>
      <c r="G112" s="145"/>
      <c r="H112" s="166"/>
      <c r="I112" s="27"/>
      <c r="J112" s="285"/>
      <c r="K112" s="44"/>
      <c r="L112" s="252"/>
      <c r="M112" s="27"/>
    </row>
    <row r="113" spans="1:14" x14ac:dyDescent="0.2">
      <c r="A113" s="21" t="s">
        <v>10</v>
      </c>
      <c r="B113" s="232"/>
      <c r="C113" s="145"/>
      <c r="D113" s="166"/>
      <c r="E113" s="27"/>
      <c r="F113" s="232"/>
      <c r="G113" s="145"/>
      <c r="H113" s="166"/>
      <c r="I113" s="27"/>
      <c r="J113" s="285"/>
      <c r="K113" s="44"/>
      <c r="L113" s="252"/>
      <c r="M113" s="27"/>
    </row>
    <row r="114" spans="1:14" x14ac:dyDescent="0.2">
      <c r="A114" s="21" t="s">
        <v>26</v>
      </c>
      <c r="B114" s="232"/>
      <c r="C114" s="145"/>
      <c r="D114" s="166"/>
      <c r="E114" s="27"/>
      <c r="F114" s="232"/>
      <c r="G114" s="145"/>
      <c r="H114" s="166"/>
      <c r="I114" s="27"/>
      <c r="J114" s="285"/>
      <c r="K114" s="44"/>
      <c r="L114" s="252"/>
      <c r="M114" s="27"/>
    </row>
    <row r="115" spans="1:14" x14ac:dyDescent="0.2">
      <c r="A115" s="294" t="s">
        <v>15</v>
      </c>
      <c r="B115" s="279"/>
      <c r="C115" s="279"/>
      <c r="D115" s="166"/>
      <c r="E115" s="363"/>
      <c r="F115" s="279"/>
      <c r="G115" s="279"/>
      <c r="H115" s="166"/>
      <c r="I115" s="363"/>
      <c r="J115" s="288"/>
      <c r="K115" s="288"/>
      <c r="L115" s="166"/>
      <c r="M115" s="23"/>
    </row>
    <row r="116" spans="1:14" ht="15.75" x14ac:dyDescent="0.2">
      <c r="A116" s="21" t="s">
        <v>393</v>
      </c>
      <c r="B116" s="232"/>
      <c r="C116" s="232"/>
      <c r="D116" s="166"/>
      <c r="E116" s="27"/>
      <c r="F116" s="232"/>
      <c r="G116" s="232"/>
      <c r="H116" s="166"/>
      <c r="I116" s="27"/>
      <c r="J116" s="285"/>
      <c r="K116" s="44"/>
      <c r="L116" s="252"/>
      <c r="M116" s="27"/>
    </row>
    <row r="117" spans="1:14" ht="15.75" x14ac:dyDescent="0.2">
      <c r="A117" s="21" t="s">
        <v>394</v>
      </c>
      <c r="B117" s="232"/>
      <c r="C117" s="232"/>
      <c r="D117" s="166"/>
      <c r="E117" s="27"/>
      <c r="F117" s="232"/>
      <c r="G117" s="232"/>
      <c r="H117" s="166"/>
      <c r="I117" s="27"/>
      <c r="J117" s="285"/>
      <c r="K117" s="44"/>
      <c r="L117" s="252"/>
      <c r="M117" s="27"/>
    </row>
    <row r="118" spans="1:14" ht="15.75" x14ac:dyDescent="0.2">
      <c r="A118" s="21" t="s">
        <v>392</v>
      </c>
      <c r="B118" s="232"/>
      <c r="C118" s="232"/>
      <c r="D118" s="166"/>
      <c r="E118" s="27"/>
      <c r="F118" s="232"/>
      <c r="G118" s="232"/>
      <c r="H118" s="166"/>
      <c r="I118" s="27"/>
      <c r="J118" s="285"/>
      <c r="K118" s="44"/>
      <c r="L118" s="252"/>
      <c r="M118" s="27"/>
    </row>
    <row r="119" spans="1:14" ht="15.75" x14ac:dyDescent="0.2">
      <c r="A119" s="13" t="s">
        <v>373</v>
      </c>
      <c r="B119" s="306"/>
      <c r="C119" s="159"/>
      <c r="D119" s="171"/>
      <c r="E119" s="11"/>
      <c r="F119" s="306"/>
      <c r="G119" s="159"/>
      <c r="H119" s="171"/>
      <c r="I119" s="11"/>
      <c r="J119" s="307"/>
      <c r="K119" s="234"/>
      <c r="L119" s="371"/>
      <c r="M119" s="11"/>
    </row>
    <row r="120" spans="1:14" x14ac:dyDescent="0.2">
      <c r="A120" s="21" t="s">
        <v>9</v>
      </c>
      <c r="B120" s="232"/>
      <c r="C120" s="145"/>
      <c r="D120" s="166"/>
      <c r="E120" s="27"/>
      <c r="F120" s="232"/>
      <c r="G120" s="145"/>
      <c r="H120" s="166"/>
      <c r="I120" s="27"/>
      <c r="J120" s="285"/>
      <c r="K120" s="44"/>
      <c r="L120" s="252"/>
      <c r="M120" s="27"/>
    </row>
    <row r="121" spans="1:14" x14ac:dyDescent="0.2">
      <c r="A121" s="21" t="s">
        <v>10</v>
      </c>
      <c r="B121" s="232"/>
      <c r="C121" s="145"/>
      <c r="D121" s="166"/>
      <c r="E121" s="27"/>
      <c r="F121" s="232"/>
      <c r="G121" s="145"/>
      <c r="H121" s="166"/>
      <c r="I121" s="27"/>
      <c r="J121" s="285"/>
      <c r="K121" s="44"/>
      <c r="L121" s="252"/>
      <c r="M121" s="27"/>
    </row>
    <row r="122" spans="1:14" x14ac:dyDescent="0.2">
      <c r="A122" s="21" t="s">
        <v>26</v>
      </c>
      <c r="B122" s="232"/>
      <c r="C122" s="145"/>
      <c r="D122" s="166"/>
      <c r="E122" s="27"/>
      <c r="F122" s="232"/>
      <c r="G122" s="145"/>
      <c r="H122" s="166"/>
      <c r="I122" s="27"/>
      <c r="J122" s="285"/>
      <c r="K122" s="44"/>
      <c r="L122" s="252"/>
      <c r="M122" s="27"/>
    </row>
    <row r="123" spans="1:14" x14ac:dyDescent="0.2">
      <c r="A123" s="294" t="s">
        <v>14</v>
      </c>
      <c r="B123" s="279"/>
      <c r="C123" s="279"/>
      <c r="D123" s="166"/>
      <c r="E123" s="363"/>
      <c r="F123" s="279"/>
      <c r="G123" s="279"/>
      <c r="H123" s="166"/>
      <c r="I123" s="363"/>
      <c r="J123" s="288"/>
      <c r="K123" s="288"/>
      <c r="L123" s="166"/>
      <c r="M123" s="23"/>
    </row>
    <row r="124" spans="1:14" ht="15.75" x14ac:dyDescent="0.2">
      <c r="A124" s="21" t="s">
        <v>399</v>
      </c>
      <c r="B124" s="232"/>
      <c r="C124" s="232"/>
      <c r="D124" s="166"/>
      <c r="E124" s="27"/>
      <c r="F124" s="232"/>
      <c r="G124" s="232"/>
      <c r="H124" s="166"/>
      <c r="I124" s="27"/>
      <c r="J124" s="285"/>
      <c r="K124" s="44"/>
      <c r="L124" s="252"/>
      <c r="M124" s="27"/>
    </row>
    <row r="125" spans="1:14" ht="15.75" x14ac:dyDescent="0.2">
      <c r="A125" s="21" t="s">
        <v>391</v>
      </c>
      <c r="B125" s="232"/>
      <c r="C125" s="232"/>
      <c r="D125" s="166"/>
      <c r="E125" s="27"/>
      <c r="F125" s="232"/>
      <c r="G125" s="232"/>
      <c r="H125" s="166"/>
      <c r="I125" s="27"/>
      <c r="J125" s="285"/>
      <c r="K125" s="44"/>
      <c r="L125" s="252"/>
      <c r="M125" s="27"/>
    </row>
    <row r="126" spans="1:14" ht="15.75" x14ac:dyDescent="0.2">
      <c r="A126" s="10" t="s">
        <v>392</v>
      </c>
      <c r="B126" s="45"/>
      <c r="C126" s="45"/>
      <c r="D126" s="167"/>
      <c r="E126" s="364"/>
      <c r="F126" s="45"/>
      <c r="G126" s="45"/>
      <c r="H126" s="167"/>
      <c r="I126" s="22"/>
      <c r="J126" s="286"/>
      <c r="K126" s="45"/>
      <c r="L126" s="253"/>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95"/>
      <c r="C130" s="695"/>
      <c r="D130" s="695"/>
      <c r="E130" s="297"/>
      <c r="F130" s="695"/>
      <c r="G130" s="695"/>
      <c r="H130" s="695"/>
      <c r="I130" s="297"/>
      <c r="J130" s="695"/>
      <c r="K130" s="695"/>
      <c r="L130" s="695"/>
      <c r="M130" s="297"/>
    </row>
    <row r="131" spans="1:14" s="3" customFormat="1" x14ac:dyDescent="0.2">
      <c r="A131" s="144"/>
      <c r="B131" s="696" t="s">
        <v>0</v>
      </c>
      <c r="C131" s="697"/>
      <c r="D131" s="697"/>
      <c r="E131" s="299"/>
      <c r="F131" s="696" t="s">
        <v>1</v>
      </c>
      <c r="G131" s="697"/>
      <c r="H131" s="697"/>
      <c r="I131" s="302"/>
      <c r="J131" s="696" t="s">
        <v>2</v>
      </c>
      <c r="K131" s="697"/>
      <c r="L131" s="697"/>
      <c r="M131" s="302"/>
      <c r="N131" s="148"/>
    </row>
    <row r="132" spans="1:14" s="3" customFormat="1" x14ac:dyDescent="0.2">
      <c r="A132" s="140"/>
      <c r="B132" s="152" t="s">
        <v>422</v>
      </c>
      <c r="C132" s="152" t="s">
        <v>423</v>
      </c>
      <c r="D132" s="243" t="s">
        <v>3</v>
      </c>
      <c r="E132" s="303" t="s">
        <v>29</v>
      </c>
      <c r="F132" s="152" t="s">
        <v>422</v>
      </c>
      <c r="G132" s="152" t="s">
        <v>423</v>
      </c>
      <c r="H132" s="205" t="s">
        <v>3</v>
      </c>
      <c r="I132" s="162" t="s">
        <v>29</v>
      </c>
      <c r="J132" s="152" t="s">
        <v>422</v>
      </c>
      <c r="K132" s="152" t="s">
        <v>423</v>
      </c>
      <c r="L132" s="244" t="s">
        <v>3</v>
      </c>
      <c r="M132" s="162" t="s">
        <v>29</v>
      </c>
      <c r="N132" s="148"/>
    </row>
    <row r="133" spans="1:14" s="3" customFormat="1" x14ac:dyDescent="0.2">
      <c r="A133" s="666"/>
      <c r="B133" s="156"/>
      <c r="C133" s="156"/>
      <c r="D133" s="244" t="s">
        <v>4</v>
      </c>
      <c r="E133" s="156" t="s">
        <v>30</v>
      </c>
      <c r="F133" s="161"/>
      <c r="G133" s="161"/>
      <c r="H133" s="205" t="s">
        <v>4</v>
      </c>
      <c r="I133" s="156" t="s">
        <v>30</v>
      </c>
      <c r="J133" s="156"/>
      <c r="K133" s="156"/>
      <c r="L133" s="150" t="s">
        <v>4</v>
      </c>
      <c r="M133" s="156" t="s">
        <v>30</v>
      </c>
      <c r="N133" s="148"/>
    </row>
    <row r="134" spans="1:14" s="3" customFormat="1" ht="15.75" x14ac:dyDescent="0.2">
      <c r="A134" s="14" t="s">
        <v>395</v>
      </c>
      <c r="B134" s="234"/>
      <c r="C134" s="307"/>
      <c r="D134" s="347"/>
      <c r="E134" s="11"/>
      <c r="F134" s="314"/>
      <c r="G134" s="315"/>
      <c r="H134" s="374"/>
      <c r="I134" s="24"/>
      <c r="J134" s="316"/>
      <c r="K134" s="316"/>
      <c r="L134" s="370"/>
      <c r="M134" s="11"/>
      <c r="N134" s="148"/>
    </row>
    <row r="135" spans="1:14" s="3" customFormat="1" ht="15.75" x14ac:dyDescent="0.2">
      <c r="A135" s="13" t="s">
        <v>400</v>
      </c>
      <c r="B135" s="234"/>
      <c r="C135" s="307"/>
      <c r="D135" s="171"/>
      <c r="E135" s="11"/>
      <c r="F135" s="234"/>
      <c r="G135" s="307"/>
      <c r="H135" s="375"/>
      <c r="I135" s="24"/>
      <c r="J135" s="306"/>
      <c r="K135" s="306"/>
      <c r="L135" s="371"/>
      <c r="M135" s="11"/>
      <c r="N135" s="148"/>
    </row>
    <row r="136" spans="1:14" s="3" customFormat="1" ht="15.75" x14ac:dyDescent="0.2">
      <c r="A136" s="13" t="s">
        <v>397</v>
      </c>
      <c r="B136" s="234"/>
      <c r="C136" s="307"/>
      <c r="D136" s="171"/>
      <c r="E136" s="11"/>
      <c r="F136" s="234"/>
      <c r="G136" s="307"/>
      <c r="H136" s="375"/>
      <c r="I136" s="24"/>
      <c r="J136" s="306"/>
      <c r="K136" s="306"/>
      <c r="L136" s="371"/>
      <c r="M136" s="11"/>
      <c r="N136" s="148"/>
    </row>
    <row r="137" spans="1:14" s="3" customFormat="1" ht="15.75" x14ac:dyDescent="0.2">
      <c r="A137" s="41" t="s">
        <v>398</v>
      </c>
      <c r="B137" s="274"/>
      <c r="C137" s="313"/>
      <c r="D137" s="169"/>
      <c r="E137" s="9"/>
      <c r="F137" s="274"/>
      <c r="G137" s="313"/>
      <c r="H137" s="376"/>
      <c r="I137" s="36"/>
      <c r="J137" s="312"/>
      <c r="K137" s="312"/>
      <c r="L137" s="372"/>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809" priority="132">
      <formula>kvartal &lt; 4</formula>
    </cfRule>
  </conditionalFormatting>
  <conditionalFormatting sqref="B69">
    <cfRule type="expression" dxfId="808" priority="100">
      <formula>kvartal &lt; 4</formula>
    </cfRule>
  </conditionalFormatting>
  <conditionalFormatting sqref="C69">
    <cfRule type="expression" dxfId="807" priority="99">
      <formula>kvartal &lt; 4</formula>
    </cfRule>
  </conditionalFormatting>
  <conditionalFormatting sqref="B72">
    <cfRule type="expression" dxfId="806" priority="98">
      <formula>kvartal &lt; 4</formula>
    </cfRule>
  </conditionalFormatting>
  <conditionalFormatting sqref="C72">
    <cfRule type="expression" dxfId="805" priority="97">
      <formula>kvartal &lt; 4</formula>
    </cfRule>
  </conditionalFormatting>
  <conditionalFormatting sqref="B80">
    <cfRule type="expression" dxfId="804" priority="96">
      <formula>kvartal &lt; 4</formula>
    </cfRule>
  </conditionalFormatting>
  <conditionalFormatting sqref="C80">
    <cfRule type="expression" dxfId="803" priority="95">
      <formula>kvartal &lt; 4</formula>
    </cfRule>
  </conditionalFormatting>
  <conditionalFormatting sqref="B83">
    <cfRule type="expression" dxfId="802" priority="94">
      <formula>kvartal &lt; 4</formula>
    </cfRule>
  </conditionalFormatting>
  <conditionalFormatting sqref="C83">
    <cfRule type="expression" dxfId="801" priority="93">
      <formula>kvartal &lt; 4</formula>
    </cfRule>
  </conditionalFormatting>
  <conditionalFormatting sqref="B90">
    <cfRule type="expression" dxfId="800" priority="84">
      <formula>kvartal &lt; 4</formula>
    </cfRule>
  </conditionalFormatting>
  <conditionalFormatting sqref="C90">
    <cfRule type="expression" dxfId="799" priority="83">
      <formula>kvartal &lt; 4</formula>
    </cfRule>
  </conditionalFormatting>
  <conditionalFormatting sqref="B93">
    <cfRule type="expression" dxfId="798" priority="82">
      <formula>kvartal &lt; 4</formula>
    </cfRule>
  </conditionalFormatting>
  <conditionalFormatting sqref="C93">
    <cfRule type="expression" dxfId="797" priority="81">
      <formula>kvartal &lt; 4</formula>
    </cfRule>
  </conditionalFormatting>
  <conditionalFormatting sqref="B101">
    <cfRule type="expression" dxfId="796" priority="80">
      <formula>kvartal &lt; 4</formula>
    </cfRule>
  </conditionalFormatting>
  <conditionalFormatting sqref="C101">
    <cfRule type="expression" dxfId="795" priority="79">
      <formula>kvartal &lt; 4</formula>
    </cfRule>
  </conditionalFormatting>
  <conditionalFormatting sqref="B104">
    <cfRule type="expression" dxfId="794" priority="78">
      <formula>kvartal &lt; 4</formula>
    </cfRule>
  </conditionalFormatting>
  <conditionalFormatting sqref="C104">
    <cfRule type="expression" dxfId="793" priority="77">
      <formula>kvartal &lt; 4</formula>
    </cfRule>
  </conditionalFormatting>
  <conditionalFormatting sqref="B115">
    <cfRule type="expression" dxfId="792" priority="76">
      <formula>kvartal &lt; 4</formula>
    </cfRule>
  </conditionalFormatting>
  <conditionalFormatting sqref="C115">
    <cfRule type="expression" dxfId="791" priority="75">
      <formula>kvartal &lt; 4</formula>
    </cfRule>
  </conditionalFormatting>
  <conditionalFormatting sqref="B123">
    <cfRule type="expression" dxfId="790" priority="74">
      <formula>kvartal &lt; 4</formula>
    </cfRule>
  </conditionalFormatting>
  <conditionalFormatting sqref="C123">
    <cfRule type="expression" dxfId="789" priority="73">
      <formula>kvartal &lt; 4</formula>
    </cfRule>
  </conditionalFormatting>
  <conditionalFormatting sqref="F70">
    <cfRule type="expression" dxfId="788" priority="72">
      <formula>kvartal &lt; 4</formula>
    </cfRule>
  </conditionalFormatting>
  <conditionalFormatting sqref="G70">
    <cfRule type="expression" dxfId="787" priority="71">
      <formula>kvartal &lt; 4</formula>
    </cfRule>
  </conditionalFormatting>
  <conditionalFormatting sqref="F71:G71">
    <cfRule type="expression" dxfId="786" priority="70">
      <formula>kvartal &lt; 4</formula>
    </cfRule>
  </conditionalFormatting>
  <conditionalFormatting sqref="F73:G74">
    <cfRule type="expression" dxfId="785" priority="69">
      <formula>kvartal &lt; 4</formula>
    </cfRule>
  </conditionalFormatting>
  <conditionalFormatting sqref="F81:G82">
    <cfRule type="expression" dxfId="784" priority="68">
      <formula>kvartal &lt; 4</formula>
    </cfRule>
  </conditionalFormatting>
  <conditionalFormatting sqref="F84:G85">
    <cfRule type="expression" dxfId="783" priority="67">
      <formula>kvartal &lt; 4</formula>
    </cfRule>
  </conditionalFormatting>
  <conditionalFormatting sqref="F91:G92">
    <cfRule type="expression" dxfId="782" priority="62">
      <formula>kvartal &lt; 4</formula>
    </cfRule>
  </conditionalFormatting>
  <conditionalFormatting sqref="F94:G95">
    <cfRule type="expression" dxfId="781" priority="61">
      <formula>kvartal &lt; 4</formula>
    </cfRule>
  </conditionalFormatting>
  <conditionalFormatting sqref="F102:G103">
    <cfRule type="expression" dxfId="780" priority="60">
      <formula>kvartal &lt; 4</formula>
    </cfRule>
  </conditionalFormatting>
  <conditionalFormatting sqref="F105:G106">
    <cfRule type="expression" dxfId="779" priority="59">
      <formula>kvartal &lt; 4</formula>
    </cfRule>
  </conditionalFormatting>
  <conditionalFormatting sqref="F115">
    <cfRule type="expression" dxfId="778" priority="58">
      <formula>kvartal &lt; 4</formula>
    </cfRule>
  </conditionalFormatting>
  <conditionalFormatting sqref="G115">
    <cfRule type="expression" dxfId="777" priority="57">
      <formula>kvartal &lt; 4</formula>
    </cfRule>
  </conditionalFormatting>
  <conditionalFormatting sqref="F123:G123">
    <cfRule type="expression" dxfId="776" priority="56">
      <formula>kvartal &lt; 4</formula>
    </cfRule>
  </conditionalFormatting>
  <conditionalFormatting sqref="F69:G69">
    <cfRule type="expression" dxfId="775" priority="55">
      <formula>kvartal &lt; 4</formula>
    </cfRule>
  </conditionalFormatting>
  <conditionalFormatting sqref="F72:G72">
    <cfRule type="expression" dxfId="774" priority="54">
      <formula>kvartal &lt; 4</formula>
    </cfRule>
  </conditionalFormatting>
  <conditionalFormatting sqref="F80:G80">
    <cfRule type="expression" dxfId="773" priority="53">
      <formula>kvartal &lt; 4</formula>
    </cfRule>
  </conditionalFormatting>
  <conditionalFormatting sqref="F83:G83">
    <cfRule type="expression" dxfId="772" priority="52">
      <formula>kvartal &lt; 4</formula>
    </cfRule>
  </conditionalFormatting>
  <conditionalFormatting sqref="F90:G90">
    <cfRule type="expression" dxfId="771" priority="46">
      <formula>kvartal &lt; 4</formula>
    </cfRule>
  </conditionalFormatting>
  <conditionalFormatting sqref="F93">
    <cfRule type="expression" dxfId="770" priority="45">
      <formula>kvartal &lt; 4</formula>
    </cfRule>
  </conditionalFormatting>
  <conditionalFormatting sqref="G93">
    <cfRule type="expression" dxfId="769" priority="44">
      <formula>kvartal &lt; 4</formula>
    </cfRule>
  </conditionalFormatting>
  <conditionalFormatting sqref="F101">
    <cfRule type="expression" dxfId="768" priority="43">
      <formula>kvartal &lt; 4</formula>
    </cfRule>
  </conditionalFormatting>
  <conditionalFormatting sqref="G101">
    <cfRule type="expression" dxfId="767" priority="42">
      <formula>kvartal &lt; 4</formula>
    </cfRule>
  </conditionalFormatting>
  <conditionalFormatting sqref="G104">
    <cfRule type="expression" dxfId="766" priority="41">
      <formula>kvartal &lt; 4</formula>
    </cfRule>
  </conditionalFormatting>
  <conditionalFormatting sqref="F104">
    <cfRule type="expression" dxfId="765" priority="40">
      <formula>kvartal &lt; 4</formula>
    </cfRule>
  </conditionalFormatting>
  <conditionalFormatting sqref="J69:K73">
    <cfRule type="expression" dxfId="764" priority="39">
      <formula>kvartal &lt; 4</formula>
    </cfRule>
  </conditionalFormatting>
  <conditionalFormatting sqref="J74:K74">
    <cfRule type="expression" dxfId="763" priority="38">
      <formula>kvartal &lt; 4</formula>
    </cfRule>
  </conditionalFormatting>
  <conditionalFormatting sqref="J80:K85">
    <cfRule type="expression" dxfId="762" priority="37">
      <formula>kvartal &lt; 4</formula>
    </cfRule>
  </conditionalFormatting>
  <conditionalFormatting sqref="J90:K95">
    <cfRule type="expression" dxfId="761" priority="34">
      <formula>kvartal &lt; 4</formula>
    </cfRule>
  </conditionalFormatting>
  <conditionalFormatting sqref="J101:K106">
    <cfRule type="expression" dxfId="760" priority="33">
      <formula>kvartal &lt; 4</formula>
    </cfRule>
  </conditionalFormatting>
  <conditionalFormatting sqref="J115:K115">
    <cfRule type="expression" dxfId="759" priority="32">
      <formula>kvartal &lt; 4</formula>
    </cfRule>
  </conditionalFormatting>
  <conditionalFormatting sqref="J123:K123">
    <cfRule type="expression" dxfId="758" priority="31">
      <formula>kvartal &lt; 4</formula>
    </cfRule>
  </conditionalFormatting>
  <conditionalFormatting sqref="A50:A52">
    <cfRule type="expression" dxfId="757" priority="12">
      <formula>kvartal &lt; 4</formula>
    </cfRule>
  </conditionalFormatting>
  <conditionalFormatting sqref="A69:A74">
    <cfRule type="expression" dxfId="756" priority="10">
      <formula>kvartal &lt; 4</formula>
    </cfRule>
  </conditionalFormatting>
  <conditionalFormatting sqref="A80:A85">
    <cfRule type="expression" dxfId="755" priority="9">
      <formula>kvartal &lt; 4</formula>
    </cfRule>
  </conditionalFormatting>
  <conditionalFormatting sqref="A90:A95">
    <cfRule type="expression" dxfId="754" priority="6">
      <formula>kvartal &lt; 4</formula>
    </cfRule>
  </conditionalFormatting>
  <conditionalFormatting sqref="A101:A106">
    <cfRule type="expression" dxfId="753" priority="5">
      <formula>kvartal &lt; 4</formula>
    </cfRule>
  </conditionalFormatting>
  <conditionalFormatting sqref="A115">
    <cfRule type="expression" dxfId="752" priority="4">
      <formula>kvartal &lt; 4</formula>
    </cfRule>
  </conditionalFormatting>
  <conditionalFormatting sqref="A123">
    <cfRule type="expression" dxfId="751" priority="3">
      <formula>kvartal &lt; 4</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4"/>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64"/>
      <c r="C1" s="246" t="s">
        <v>136</v>
      </c>
      <c r="D1" s="26"/>
      <c r="E1" s="26"/>
      <c r="F1" s="26"/>
      <c r="G1" s="26"/>
      <c r="H1" s="26"/>
      <c r="I1" s="26"/>
      <c r="J1" s="26"/>
      <c r="K1" s="26"/>
      <c r="L1" s="26"/>
      <c r="M1" s="26"/>
    </row>
    <row r="2" spans="1:14" ht="15.75" x14ac:dyDescent="0.25">
      <c r="A2" s="165" t="s">
        <v>28</v>
      </c>
      <c r="B2" s="700"/>
      <c r="C2" s="700"/>
      <c r="D2" s="700"/>
      <c r="E2" s="297"/>
      <c r="F2" s="700"/>
      <c r="G2" s="700"/>
      <c r="H2" s="700"/>
      <c r="I2" s="297"/>
      <c r="J2" s="700"/>
      <c r="K2" s="700"/>
      <c r="L2" s="700"/>
      <c r="M2" s="297"/>
    </row>
    <row r="3" spans="1:14" ht="15.75" x14ac:dyDescent="0.25">
      <c r="A3" s="163"/>
      <c r="B3" s="297"/>
      <c r="C3" s="297"/>
      <c r="D3" s="297"/>
      <c r="E3" s="297"/>
      <c r="F3" s="297"/>
      <c r="G3" s="297"/>
      <c r="H3" s="297"/>
      <c r="I3" s="297"/>
      <c r="J3" s="297"/>
      <c r="K3" s="297"/>
      <c r="L3" s="297"/>
      <c r="M3" s="297"/>
    </row>
    <row r="4" spans="1:14" x14ac:dyDescent="0.2">
      <c r="A4" s="144"/>
      <c r="B4" s="696" t="s">
        <v>0</v>
      </c>
      <c r="C4" s="697"/>
      <c r="D4" s="697"/>
      <c r="E4" s="299"/>
      <c r="F4" s="696" t="s">
        <v>1</v>
      </c>
      <c r="G4" s="697"/>
      <c r="H4" s="697"/>
      <c r="I4" s="302"/>
      <c r="J4" s="696" t="s">
        <v>2</v>
      </c>
      <c r="K4" s="697"/>
      <c r="L4" s="697"/>
      <c r="M4" s="302"/>
    </row>
    <row r="5" spans="1:14" x14ac:dyDescent="0.2">
      <c r="A5" s="158"/>
      <c r="B5" s="152" t="s">
        <v>422</v>
      </c>
      <c r="C5" s="152" t="s">
        <v>423</v>
      </c>
      <c r="D5" s="243" t="s">
        <v>3</v>
      </c>
      <c r="E5" s="303" t="s">
        <v>29</v>
      </c>
      <c r="F5" s="152" t="s">
        <v>422</v>
      </c>
      <c r="G5" s="152" t="s">
        <v>423</v>
      </c>
      <c r="H5" s="243" t="s">
        <v>3</v>
      </c>
      <c r="I5" s="162" t="s">
        <v>29</v>
      </c>
      <c r="J5" s="152" t="s">
        <v>422</v>
      </c>
      <c r="K5" s="152" t="s">
        <v>423</v>
      </c>
      <c r="L5" s="243" t="s">
        <v>3</v>
      </c>
      <c r="M5" s="162" t="s">
        <v>29</v>
      </c>
    </row>
    <row r="6" spans="1:14" x14ac:dyDescent="0.2">
      <c r="A6" s="665"/>
      <c r="B6" s="156"/>
      <c r="C6" s="156"/>
      <c r="D6" s="244" t="s">
        <v>4</v>
      </c>
      <c r="E6" s="156" t="s">
        <v>30</v>
      </c>
      <c r="F6" s="161"/>
      <c r="G6" s="161"/>
      <c r="H6" s="243" t="s">
        <v>4</v>
      </c>
      <c r="I6" s="156" t="s">
        <v>30</v>
      </c>
      <c r="J6" s="161"/>
      <c r="K6" s="161"/>
      <c r="L6" s="243" t="s">
        <v>4</v>
      </c>
      <c r="M6" s="156" t="s">
        <v>30</v>
      </c>
    </row>
    <row r="7" spans="1:14" ht="15.75" x14ac:dyDescent="0.2">
      <c r="A7" s="14" t="s">
        <v>23</v>
      </c>
      <c r="B7" s="304"/>
      <c r="C7" s="305">
        <v>6128.2640000000001</v>
      </c>
      <c r="D7" s="347" t="str">
        <f>IF(B7=0, "    ---- ", IF(ABS(ROUND(100/B7*C7-100,1))&lt;999,ROUND(100/B7*C7-100,1),IF(ROUND(100/B7*C7-100,1)&gt;999,999,-999)))</f>
        <v xml:space="preserve">    ---- </v>
      </c>
      <c r="E7" s="11">
        <f>IFERROR(100/'Skjema total MA'!C7*C7,0)</f>
        <v>0.23076724931414871</v>
      </c>
      <c r="F7" s="304"/>
      <c r="G7" s="305"/>
      <c r="H7" s="347"/>
      <c r="I7" s="160"/>
      <c r="J7" s="306"/>
      <c r="K7" s="307">
        <f t="shared" ref="K7:K10" si="0">SUM(C7,G7)</f>
        <v>6128.2640000000001</v>
      </c>
      <c r="L7" s="370" t="str">
        <f>IF(J7=0, "    ---- ", IF(ABS(ROUND(100/J7*K7-100,1))&lt;999,ROUND(100/J7*K7-100,1),IF(ROUND(100/J7*K7-100,1)&gt;999,999,-999)))</f>
        <v xml:space="preserve">    ---- </v>
      </c>
      <c r="M7" s="11">
        <f>IFERROR(100/'Skjema total MA'!I7*K7,0)</f>
        <v>7.976504337699275E-2</v>
      </c>
    </row>
    <row r="8" spans="1:14" ht="15.75" x14ac:dyDescent="0.2">
      <c r="A8" s="21" t="s">
        <v>25</v>
      </c>
      <c r="B8" s="279"/>
      <c r="C8" s="280">
        <v>3807.07</v>
      </c>
      <c r="D8" s="166" t="str">
        <f t="shared" ref="D8:D10" si="1">IF(B8=0, "    ---- ", IF(ABS(ROUND(100/B8*C8-100,1))&lt;999,ROUND(100/B8*C8-100,1),IF(ROUND(100/B8*C8-100,1)&gt;999,999,-999)))</f>
        <v xml:space="preserve">    ---- </v>
      </c>
      <c r="E8" s="27">
        <f>IFERROR(100/'Skjema total MA'!C8*C8,0)</f>
        <v>0.23836784680999232</v>
      </c>
      <c r="F8" s="283"/>
      <c r="G8" s="284"/>
      <c r="H8" s="166"/>
      <c r="I8" s="175"/>
      <c r="J8" s="232"/>
      <c r="K8" s="285">
        <f t="shared" si="0"/>
        <v>3807.07</v>
      </c>
      <c r="L8" s="166" t="str">
        <f t="shared" ref="L8:L9" si="2">IF(J8=0, "    ---- ", IF(ABS(ROUND(100/J8*K8-100,1))&lt;999,ROUND(100/J8*K8-100,1),IF(ROUND(100/J8*K8-100,1)&gt;999,999,-999)))</f>
        <v xml:space="preserve">    ---- </v>
      </c>
      <c r="M8" s="27">
        <f>IFERROR(100/'Skjema total MA'!I8*K8,0)</f>
        <v>0.23836784680999232</v>
      </c>
    </row>
    <row r="9" spans="1:14" ht="15.75" x14ac:dyDescent="0.2">
      <c r="A9" s="21" t="s">
        <v>24</v>
      </c>
      <c r="B9" s="279"/>
      <c r="C9" s="280">
        <v>2321.194</v>
      </c>
      <c r="D9" s="166" t="str">
        <f t="shared" si="1"/>
        <v xml:space="preserve">    ---- </v>
      </c>
      <c r="E9" s="27">
        <f>IFERROR(100/'Skjema total MA'!C9*C9,0)</f>
        <v>0.39865239967685018</v>
      </c>
      <c r="F9" s="283"/>
      <c r="G9" s="284"/>
      <c r="H9" s="166"/>
      <c r="I9" s="175"/>
      <c r="J9" s="232"/>
      <c r="K9" s="285">
        <f t="shared" si="0"/>
        <v>2321.194</v>
      </c>
      <c r="L9" s="166" t="str">
        <f t="shared" si="2"/>
        <v xml:space="preserve">    ---- </v>
      </c>
      <c r="M9" s="27">
        <f>IFERROR(100/'Skjema total MA'!I9*K9,0)</f>
        <v>0.39865239967685018</v>
      </c>
    </row>
    <row r="10" spans="1:14" ht="15.75" x14ac:dyDescent="0.2">
      <c r="A10" s="13" t="s">
        <v>371</v>
      </c>
      <c r="B10" s="308"/>
      <c r="C10" s="309">
        <v>2349.1471643053901</v>
      </c>
      <c r="D10" s="171" t="str">
        <f t="shared" si="1"/>
        <v xml:space="preserve">    ---- </v>
      </c>
      <c r="E10" s="11">
        <f>IFERROR(100/'Skjema total MA'!C10*C10,0)</f>
        <v>1.1927447422688246E-2</v>
      </c>
      <c r="F10" s="308"/>
      <c r="G10" s="309"/>
      <c r="H10" s="171"/>
      <c r="I10" s="160"/>
      <c r="J10" s="306"/>
      <c r="K10" s="307">
        <f t="shared" si="0"/>
        <v>2349.1471643053901</v>
      </c>
      <c r="L10" s="371" t="str">
        <f t="shared" ref="L10" si="3">IF(J10=0, "    ---- ", IF(ABS(ROUND(100/J10*K10-100,1))&lt;999,ROUND(100/J10*K10-100,1),IF(ROUND(100/J10*K10-100,1)&gt;999,999,-999)))</f>
        <v xml:space="preserve">    ---- </v>
      </c>
      <c r="M10" s="11">
        <f>IFERROR(100/'Skjema total MA'!I10*K10,0)</f>
        <v>3.5539741708218225E-3</v>
      </c>
    </row>
    <row r="11" spans="1:14" s="43" customFormat="1" ht="15.75" x14ac:dyDescent="0.2">
      <c r="A11" s="13" t="s">
        <v>372</v>
      </c>
      <c r="B11" s="308"/>
      <c r="C11" s="309"/>
      <c r="D11" s="171"/>
      <c r="E11" s="11"/>
      <c r="F11" s="308"/>
      <c r="G11" s="309"/>
      <c r="H11" s="171"/>
      <c r="I11" s="160"/>
      <c r="J11" s="306"/>
      <c r="K11" s="307"/>
      <c r="L11" s="371"/>
      <c r="M11" s="11"/>
      <c r="N11" s="143"/>
    </row>
    <row r="12" spans="1:14" s="43" customFormat="1" ht="15.75" x14ac:dyDescent="0.2">
      <c r="A12" s="41" t="s">
        <v>373</v>
      </c>
      <c r="B12" s="310"/>
      <c r="C12" s="311"/>
      <c r="D12" s="169"/>
      <c r="E12" s="36"/>
      <c r="F12" s="310"/>
      <c r="G12" s="311"/>
      <c r="H12" s="169"/>
      <c r="I12" s="169"/>
      <c r="J12" s="312"/>
      <c r="K12" s="313"/>
      <c r="L12" s="372"/>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95"/>
      <c r="C18" s="695"/>
      <c r="D18" s="695"/>
      <c r="E18" s="297"/>
      <c r="F18" s="695"/>
      <c r="G18" s="695"/>
      <c r="H18" s="695"/>
      <c r="I18" s="297"/>
      <c r="J18" s="695"/>
      <c r="K18" s="695"/>
      <c r="L18" s="695"/>
      <c r="M18" s="297"/>
    </row>
    <row r="19" spans="1:14" x14ac:dyDescent="0.2">
      <c r="A19" s="144"/>
      <c r="B19" s="696" t="s">
        <v>0</v>
      </c>
      <c r="C19" s="697"/>
      <c r="D19" s="697"/>
      <c r="E19" s="299"/>
      <c r="F19" s="696" t="s">
        <v>1</v>
      </c>
      <c r="G19" s="697"/>
      <c r="H19" s="697"/>
      <c r="I19" s="302"/>
      <c r="J19" s="696" t="s">
        <v>2</v>
      </c>
      <c r="K19" s="697"/>
      <c r="L19" s="697"/>
      <c r="M19" s="302"/>
    </row>
    <row r="20" spans="1:14" x14ac:dyDescent="0.2">
      <c r="A20" s="140" t="s">
        <v>5</v>
      </c>
      <c r="B20" s="152" t="s">
        <v>422</v>
      </c>
      <c r="C20" s="152" t="s">
        <v>423</v>
      </c>
      <c r="D20" s="162" t="s">
        <v>3</v>
      </c>
      <c r="E20" s="303" t="s">
        <v>29</v>
      </c>
      <c r="F20" s="152" t="s">
        <v>422</v>
      </c>
      <c r="G20" s="152" t="s">
        <v>423</v>
      </c>
      <c r="H20" s="162" t="s">
        <v>3</v>
      </c>
      <c r="I20" s="162" t="s">
        <v>29</v>
      </c>
      <c r="J20" s="152" t="s">
        <v>422</v>
      </c>
      <c r="K20" s="152" t="s">
        <v>423</v>
      </c>
      <c r="L20" s="162" t="s">
        <v>3</v>
      </c>
      <c r="M20" s="162" t="s">
        <v>29</v>
      </c>
    </row>
    <row r="21" spans="1:14" x14ac:dyDescent="0.2">
      <c r="A21" s="666"/>
      <c r="B21" s="156"/>
      <c r="C21" s="156"/>
      <c r="D21" s="244" t="s">
        <v>4</v>
      </c>
      <c r="E21" s="156" t="s">
        <v>30</v>
      </c>
      <c r="F21" s="161"/>
      <c r="G21" s="161"/>
      <c r="H21" s="243" t="s">
        <v>4</v>
      </c>
      <c r="I21" s="156" t="s">
        <v>30</v>
      </c>
      <c r="J21" s="161"/>
      <c r="K21" s="161"/>
      <c r="L21" s="156" t="s">
        <v>4</v>
      </c>
      <c r="M21" s="156" t="s">
        <v>30</v>
      </c>
    </row>
    <row r="22" spans="1:14" ht="15.75" x14ac:dyDescent="0.2">
      <c r="A22" s="14" t="s">
        <v>23</v>
      </c>
      <c r="B22" s="308"/>
      <c r="C22" s="308"/>
      <c r="D22" s="347"/>
      <c r="E22" s="11"/>
      <c r="F22" s="316"/>
      <c r="G22" s="316"/>
      <c r="H22" s="347"/>
      <c r="I22" s="11"/>
      <c r="J22" s="314"/>
      <c r="K22" s="314"/>
      <c r="L22" s="370"/>
      <c r="M22" s="24"/>
    </row>
    <row r="23" spans="1:14" ht="15.75" x14ac:dyDescent="0.2">
      <c r="A23" s="551" t="s">
        <v>374</v>
      </c>
      <c r="B23" s="279"/>
      <c r="C23" s="279"/>
      <c r="D23" s="166"/>
      <c r="E23" s="11"/>
      <c r="F23" s="288"/>
      <c r="G23" s="288"/>
      <c r="H23" s="166"/>
      <c r="I23" s="363"/>
      <c r="J23" s="288"/>
      <c r="K23" s="288"/>
      <c r="L23" s="166"/>
      <c r="M23" s="23"/>
    </row>
    <row r="24" spans="1:14" ht="15.75" x14ac:dyDescent="0.2">
      <c r="A24" s="551" t="s">
        <v>375</v>
      </c>
      <c r="B24" s="279"/>
      <c r="C24" s="279"/>
      <c r="D24" s="166"/>
      <c r="E24" s="11"/>
      <c r="F24" s="288"/>
      <c r="G24" s="288"/>
      <c r="H24" s="166"/>
      <c r="I24" s="363"/>
      <c r="J24" s="288"/>
      <c r="K24" s="288"/>
      <c r="L24" s="166"/>
      <c r="M24" s="23"/>
    </row>
    <row r="25" spans="1:14" ht="15.75" x14ac:dyDescent="0.2">
      <c r="A25" s="551" t="s">
        <v>376</v>
      </c>
      <c r="B25" s="279"/>
      <c r="C25" s="279"/>
      <c r="D25" s="166"/>
      <c r="E25" s="11"/>
      <c r="F25" s="288"/>
      <c r="G25" s="288"/>
      <c r="H25" s="166"/>
      <c r="I25" s="363"/>
      <c r="J25" s="288"/>
      <c r="K25" s="288"/>
      <c r="L25" s="166"/>
      <c r="M25" s="23"/>
    </row>
    <row r="26" spans="1:14" ht="15.75" x14ac:dyDescent="0.2">
      <c r="A26" s="551" t="s">
        <v>377</v>
      </c>
      <c r="B26" s="279"/>
      <c r="C26" s="279"/>
      <c r="D26" s="166"/>
      <c r="E26" s="11"/>
      <c r="F26" s="288"/>
      <c r="G26" s="288"/>
      <c r="H26" s="166"/>
      <c r="I26" s="363"/>
      <c r="J26" s="288"/>
      <c r="K26" s="288"/>
      <c r="L26" s="166"/>
      <c r="M26" s="23"/>
    </row>
    <row r="27" spans="1:14" x14ac:dyDescent="0.2">
      <c r="A27" s="551" t="s">
        <v>11</v>
      </c>
      <c r="B27" s="279"/>
      <c r="C27" s="279"/>
      <c r="D27" s="166"/>
      <c r="E27" s="11"/>
      <c r="F27" s="288"/>
      <c r="G27" s="288"/>
      <c r="H27" s="166"/>
      <c r="I27" s="363"/>
      <c r="J27" s="288"/>
      <c r="K27" s="288"/>
      <c r="L27" s="166"/>
      <c r="M27" s="23"/>
    </row>
    <row r="28" spans="1:14" ht="15.75" x14ac:dyDescent="0.2">
      <c r="A28" s="49" t="s">
        <v>282</v>
      </c>
      <c r="B28" s="44"/>
      <c r="C28" s="285"/>
      <c r="D28" s="166"/>
      <c r="E28" s="11"/>
      <c r="F28" s="232"/>
      <c r="G28" s="285"/>
      <c r="H28" s="166"/>
      <c r="I28" s="27"/>
      <c r="J28" s="44"/>
      <c r="K28" s="44"/>
      <c r="L28" s="252"/>
      <c r="M28" s="23"/>
    </row>
    <row r="29" spans="1:14" s="3" customFormat="1" ht="15.75" x14ac:dyDescent="0.2">
      <c r="A29" s="13" t="s">
        <v>371</v>
      </c>
      <c r="B29" s="234"/>
      <c r="C29" s="234"/>
      <c r="D29" s="171"/>
      <c r="E29" s="11"/>
      <c r="F29" s="306"/>
      <c r="G29" s="306"/>
      <c r="H29" s="171"/>
      <c r="I29" s="11"/>
      <c r="J29" s="234"/>
      <c r="K29" s="234"/>
      <c r="L29" s="371"/>
      <c r="M29" s="24"/>
      <c r="N29" s="148"/>
    </row>
    <row r="30" spans="1:14" s="3" customFormat="1" ht="15.75" x14ac:dyDescent="0.2">
      <c r="A30" s="551" t="s">
        <v>374</v>
      </c>
      <c r="B30" s="279"/>
      <c r="C30" s="279"/>
      <c r="D30" s="166"/>
      <c r="E30" s="11"/>
      <c r="F30" s="288"/>
      <c r="G30" s="288"/>
      <c r="H30" s="166"/>
      <c r="I30" s="363"/>
      <c r="J30" s="288"/>
      <c r="K30" s="288"/>
      <c r="L30" s="166"/>
      <c r="M30" s="23"/>
      <c r="N30" s="148"/>
    </row>
    <row r="31" spans="1:14" s="3" customFormat="1" ht="15.75" x14ac:dyDescent="0.2">
      <c r="A31" s="551" t="s">
        <v>375</v>
      </c>
      <c r="B31" s="279"/>
      <c r="C31" s="279"/>
      <c r="D31" s="166"/>
      <c r="E31" s="11"/>
      <c r="F31" s="288"/>
      <c r="G31" s="288"/>
      <c r="H31" s="166"/>
      <c r="I31" s="363"/>
      <c r="J31" s="288"/>
      <c r="K31" s="288"/>
      <c r="L31" s="166"/>
      <c r="M31" s="23"/>
      <c r="N31" s="148"/>
    </row>
    <row r="32" spans="1:14" ht="15.75" x14ac:dyDescent="0.2">
      <c r="A32" s="551" t="s">
        <v>376</v>
      </c>
      <c r="B32" s="279"/>
      <c r="C32" s="279"/>
      <c r="D32" s="166"/>
      <c r="E32" s="11"/>
      <c r="F32" s="288"/>
      <c r="G32" s="288"/>
      <c r="H32" s="166"/>
      <c r="I32" s="363"/>
      <c r="J32" s="288"/>
      <c r="K32" s="288"/>
      <c r="L32" s="166"/>
      <c r="M32" s="23"/>
    </row>
    <row r="33" spans="1:14" ht="15.75" x14ac:dyDescent="0.2">
      <c r="A33" s="551" t="s">
        <v>377</v>
      </c>
      <c r="B33" s="279"/>
      <c r="C33" s="279"/>
      <c r="D33" s="166"/>
      <c r="E33" s="11"/>
      <c r="F33" s="288"/>
      <c r="G33" s="288"/>
      <c r="H33" s="166"/>
      <c r="I33" s="363"/>
      <c r="J33" s="288"/>
      <c r="K33" s="288"/>
      <c r="L33" s="166"/>
      <c r="M33" s="23"/>
    </row>
    <row r="34" spans="1:14" ht="15.75" x14ac:dyDescent="0.2">
      <c r="A34" s="13" t="s">
        <v>372</v>
      </c>
      <c r="B34" s="234"/>
      <c r="C34" s="307"/>
      <c r="D34" s="171"/>
      <c r="E34" s="11"/>
      <c r="F34" s="306"/>
      <c r="G34" s="307"/>
      <c r="H34" s="171"/>
      <c r="I34" s="11"/>
      <c r="J34" s="234"/>
      <c r="K34" s="234"/>
      <c r="L34" s="371"/>
      <c r="M34" s="24"/>
    </row>
    <row r="35" spans="1:14" ht="15.75" x14ac:dyDescent="0.2">
      <c r="A35" s="13" t="s">
        <v>373</v>
      </c>
      <c r="B35" s="234"/>
      <c r="C35" s="307"/>
      <c r="D35" s="171"/>
      <c r="E35" s="11"/>
      <c r="F35" s="306"/>
      <c r="G35" s="307"/>
      <c r="H35" s="171"/>
      <c r="I35" s="11"/>
      <c r="J35" s="234"/>
      <c r="K35" s="234"/>
      <c r="L35" s="371"/>
      <c r="M35" s="24"/>
    </row>
    <row r="36" spans="1:14" ht="15.75" x14ac:dyDescent="0.2">
      <c r="A36" s="12" t="s">
        <v>290</v>
      </c>
      <c r="B36" s="234"/>
      <c r="C36" s="307"/>
      <c r="D36" s="171"/>
      <c r="E36" s="11"/>
      <c r="F36" s="317"/>
      <c r="G36" s="318"/>
      <c r="H36" s="171"/>
      <c r="I36" s="377"/>
      <c r="J36" s="234"/>
      <c r="K36" s="234"/>
      <c r="L36" s="371"/>
      <c r="M36" s="24"/>
    </row>
    <row r="37" spans="1:14" ht="15.75" x14ac:dyDescent="0.2">
      <c r="A37" s="12" t="s">
        <v>379</v>
      </c>
      <c r="B37" s="234"/>
      <c r="C37" s="307"/>
      <c r="D37" s="171"/>
      <c r="E37" s="11"/>
      <c r="F37" s="317"/>
      <c r="G37" s="319"/>
      <c r="H37" s="171"/>
      <c r="I37" s="377"/>
      <c r="J37" s="234"/>
      <c r="K37" s="234"/>
      <c r="L37" s="371"/>
      <c r="M37" s="24"/>
    </row>
    <row r="38" spans="1:14" ht="15.75" x14ac:dyDescent="0.2">
      <c r="A38" s="12" t="s">
        <v>380</v>
      </c>
      <c r="B38" s="234"/>
      <c r="C38" s="307"/>
      <c r="D38" s="171"/>
      <c r="E38" s="24"/>
      <c r="F38" s="317"/>
      <c r="G38" s="318"/>
      <c r="H38" s="171"/>
      <c r="I38" s="377"/>
      <c r="J38" s="234"/>
      <c r="K38" s="234"/>
      <c r="L38" s="371"/>
      <c r="M38" s="24"/>
    </row>
    <row r="39" spans="1:14" ht="15.75" x14ac:dyDescent="0.2">
      <c r="A39" s="18" t="s">
        <v>381</v>
      </c>
      <c r="B39" s="274"/>
      <c r="C39" s="313"/>
      <c r="D39" s="169"/>
      <c r="E39" s="36"/>
      <c r="F39" s="320"/>
      <c r="G39" s="321"/>
      <c r="H39" s="169"/>
      <c r="I39" s="36"/>
      <c r="J39" s="234"/>
      <c r="K39" s="234"/>
      <c r="L39" s="372"/>
      <c r="M39" s="36"/>
    </row>
    <row r="40" spans="1:14" ht="15.75" x14ac:dyDescent="0.25">
      <c r="A40" s="47"/>
      <c r="B40" s="251"/>
      <c r="C40" s="251"/>
      <c r="D40" s="699"/>
      <c r="E40" s="699"/>
      <c r="F40" s="699"/>
      <c r="G40" s="699"/>
      <c r="H40" s="699"/>
      <c r="I40" s="699"/>
      <c r="J40" s="699"/>
      <c r="K40" s="699"/>
      <c r="L40" s="699"/>
      <c r="M40" s="300"/>
    </row>
    <row r="41" spans="1:14" x14ac:dyDescent="0.2">
      <c r="A41" s="155"/>
    </row>
    <row r="42" spans="1:14" ht="15.75" x14ac:dyDescent="0.25">
      <c r="A42" s="147" t="s">
        <v>279</v>
      </c>
      <c r="B42" s="700"/>
      <c r="C42" s="700"/>
      <c r="D42" s="700"/>
      <c r="E42" s="297"/>
      <c r="F42" s="701"/>
      <c r="G42" s="701"/>
      <c r="H42" s="701"/>
      <c r="I42" s="300"/>
      <c r="J42" s="701"/>
      <c r="K42" s="701"/>
      <c r="L42" s="701"/>
      <c r="M42" s="300"/>
    </row>
    <row r="43" spans="1:14" ht="15.75" x14ac:dyDescent="0.25">
      <c r="A43" s="163"/>
      <c r="B43" s="301"/>
      <c r="C43" s="301"/>
      <c r="D43" s="301"/>
      <c r="E43" s="301"/>
      <c r="F43" s="300"/>
      <c r="G43" s="300"/>
      <c r="H43" s="300"/>
      <c r="I43" s="300"/>
      <c r="J43" s="300"/>
      <c r="K43" s="300"/>
      <c r="L43" s="300"/>
      <c r="M43" s="300"/>
    </row>
    <row r="44" spans="1:14" ht="15.75" x14ac:dyDescent="0.25">
      <c r="A44" s="245"/>
      <c r="B44" s="696" t="s">
        <v>0</v>
      </c>
      <c r="C44" s="697"/>
      <c r="D44" s="697"/>
      <c r="E44" s="241"/>
      <c r="F44" s="300"/>
      <c r="G44" s="300"/>
      <c r="H44" s="300"/>
      <c r="I44" s="300"/>
      <c r="J44" s="300"/>
      <c r="K44" s="300"/>
      <c r="L44" s="300"/>
      <c r="M44" s="300"/>
    </row>
    <row r="45" spans="1:14" s="3" customFormat="1" x14ac:dyDescent="0.2">
      <c r="A45" s="140"/>
      <c r="B45" s="152" t="s">
        <v>422</v>
      </c>
      <c r="C45" s="152" t="s">
        <v>423</v>
      </c>
      <c r="D45" s="162" t="s">
        <v>3</v>
      </c>
      <c r="E45" s="162" t="s">
        <v>29</v>
      </c>
      <c r="F45" s="174"/>
      <c r="G45" s="174"/>
      <c r="H45" s="173"/>
      <c r="I45" s="173"/>
      <c r="J45" s="174"/>
      <c r="K45" s="174"/>
      <c r="L45" s="173"/>
      <c r="M45" s="173"/>
      <c r="N45" s="148"/>
    </row>
    <row r="46" spans="1:14" s="3" customFormat="1" x14ac:dyDescent="0.2">
      <c r="A46" s="666"/>
      <c r="B46" s="242"/>
      <c r="C46" s="242"/>
      <c r="D46" s="243" t="s">
        <v>4</v>
      </c>
      <c r="E46" s="156" t="s">
        <v>30</v>
      </c>
      <c r="F46" s="173"/>
      <c r="G46" s="173"/>
      <c r="H46" s="173"/>
      <c r="I46" s="173"/>
      <c r="J46" s="173"/>
      <c r="K46" s="173"/>
      <c r="L46" s="173"/>
      <c r="M46" s="173"/>
      <c r="N46" s="148"/>
    </row>
    <row r="47" spans="1:14" s="3" customFormat="1" ht="15.75" x14ac:dyDescent="0.2">
      <c r="A47" s="14" t="s">
        <v>23</v>
      </c>
      <c r="B47" s="308">
        <v>1012</v>
      </c>
      <c r="C47" s="309">
        <v>3538.7370000000001</v>
      </c>
      <c r="D47" s="370">
        <f t="shared" ref="D47:D57" si="4">IF(B47=0, "    ---- ", IF(ABS(ROUND(100/B47*C47-100,1))&lt;999,ROUND(100/B47*C47-100,1),IF(ROUND(100/B47*C47-100,1)&gt;999,999,-999)))</f>
        <v>249.7</v>
      </c>
      <c r="E47" s="11">
        <f>IFERROR(100/'Skjema total MA'!C47*C47,0)</f>
        <v>0.10960915256031278</v>
      </c>
      <c r="F47" s="145"/>
      <c r="G47" s="33"/>
      <c r="H47" s="159"/>
      <c r="I47" s="159"/>
      <c r="J47" s="37"/>
      <c r="K47" s="37"/>
      <c r="L47" s="159"/>
      <c r="M47" s="159"/>
      <c r="N47" s="148"/>
    </row>
    <row r="48" spans="1:14" s="3" customFormat="1" ht="15.75" x14ac:dyDescent="0.2">
      <c r="A48" s="38" t="s">
        <v>382</v>
      </c>
      <c r="B48" s="279">
        <v>1012</v>
      </c>
      <c r="C48" s="280">
        <v>3538.7370000000001</v>
      </c>
      <c r="D48" s="252">
        <f t="shared" si="4"/>
        <v>249.7</v>
      </c>
      <c r="E48" s="27">
        <f>IFERROR(100/'Skjema total MA'!C48*C48,0)</f>
        <v>0.19475513948454662</v>
      </c>
      <c r="F48" s="145"/>
      <c r="G48" s="33"/>
      <c r="H48" s="145"/>
      <c r="I48" s="145"/>
      <c r="J48" s="33"/>
      <c r="K48" s="33"/>
      <c r="L48" s="159"/>
      <c r="M48" s="159"/>
      <c r="N48" s="148"/>
    </row>
    <row r="49" spans="1:14" s="3" customFormat="1" ht="15.75" x14ac:dyDescent="0.2">
      <c r="A49" s="38" t="s">
        <v>383</v>
      </c>
      <c r="B49" s="44"/>
      <c r="C49" s="285"/>
      <c r="D49" s="252"/>
      <c r="E49" s="27"/>
      <c r="F49" s="145"/>
      <c r="G49" s="33"/>
      <c r="H49" s="145"/>
      <c r="I49" s="145"/>
      <c r="J49" s="37"/>
      <c r="K49" s="37"/>
      <c r="L49" s="159"/>
      <c r="M49" s="159"/>
      <c r="N49" s="148"/>
    </row>
    <row r="50" spans="1:14" s="3" customFormat="1" x14ac:dyDescent="0.2">
      <c r="A50" s="294" t="s">
        <v>6</v>
      </c>
      <c r="B50" s="288"/>
      <c r="C50" s="289"/>
      <c r="D50" s="252"/>
      <c r="E50" s="23"/>
      <c r="F50" s="145"/>
      <c r="G50" s="33"/>
      <c r="H50" s="145"/>
      <c r="I50" s="145"/>
      <c r="J50" s="33"/>
      <c r="K50" s="33"/>
      <c r="L50" s="159"/>
      <c r="M50" s="159"/>
      <c r="N50" s="148"/>
    </row>
    <row r="51" spans="1:14" s="3" customFormat="1" x14ac:dyDescent="0.2">
      <c r="A51" s="294" t="s">
        <v>7</v>
      </c>
      <c r="B51" s="288"/>
      <c r="C51" s="289"/>
      <c r="D51" s="252"/>
      <c r="E51" s="23"/>
      <c r="F51" s="145"/>
      <c r="G51" s="33"/>
      <c r="H51" s="145"/>
      <c r="I51" s="145"/>
      <c r="J51" s="33"/>
      <c r="K51" s="33"/>
      <c r="L51" s="159"/>
      <c r="M51" s="159"/>
      <c r="N51" s="148"/>
    </row>
    <row r="52" spans="1:14" s="3" customFormat="1" x14ac:dyDescent="0.2">
      <c r="A52" s="294" t="s">
        <v>8</v>
      </c>
      <c r="B52" s="288"/>
      <c r="C52" s="289"/>
      <c r="D52" s="252"/>
      <c r="E52" s="23"/>
      <c r="F52" s="145"/>
      <c r="G52" s="33"/>
      <c r="H52" s="145"/>
      <c r="I52" s="145"/>
      <c r="J52" s="33"/>
      <c r="K52" s="33"/>
      <c r="L52" s="159"/>
      <c r="M52" s="159"/>
      <c r="N52" s="148"/>
    </row>
    <row r="53" spans="1:14" s="3" customFormat="1" ht="15.75" x14ac:dyDescent="0.2">
      <c r="A53" s="39" t="s">
        <v>384</v>
      </c>
      <c r="B53" s="308">
        <v>68</v>
      </c>
      <c r="C53" s="309">
        <v>0</v>
      </c>
      <c r="D53" s="371">
        <f t="shared" si="4"/>
        <v>-100</v>
      </c>
      <c r="E53" s="11">
        <f>IFERROR(100/'Skjema total MA'!C53*C53,0)</f>
        <v>0</v>
      </c>
      <c r="F53" s="145"/>
      <c r="G53" s="33"/>
      <c r="H53" s="145"/>
      <c r="I53" s="145"/>
      <c r="J53" s="33"/>
      <c r="K53" s="33"/>
      <c r="L53" s="159"/>
      <c r="M53" s="159"/>
      <c r="N53" s="148"/>
    </row>
    <row r="54" spans="1:14" s="3" customFormat="1" ht="15.75" x14ac:dyDescent="0.2">
      <c r="A54" s="38" t="s">
        <v>382</v>
      </c>
      <c r="B54" s="279">
        <v>68</v>
      </c>
      <c r="C54" s="280">
        <v>0</v>
      </c>
      <c r="D54" s="252">
        <f t="shared" si="4"/>
        <v>-100</v>
      </c>
      <c r="E54" s="27">
        <f>IFERROR(100/'Skjema total MA'!C54*C54,0)</f>
        <v>0</v>
      </c>
      <c r="F54" s="145"/>
      <c r="G54" s="33"/>
      <c r="H54" s="145"/>
      <c r="I54" s="145"/>
      <c r="J54" s="33"/>
      <c r="K54" s="33"/>
      <c r="L54" s="159"/>
      <c r="M54" s="159"/>
      <c r="N54" s="148"/>
    </row>
    <row r="55" spans="1:14" s="3" customFormat="1" ht="15.75" x14ac:dyDescent="0.2">
      <c r="A55" s="38" t="s">
        <v>383</v>
      </c>
      <c r="B55" s="279"/>
      <c r="C55" s="280"/>
      <c r="D55" s="252"/>
      <c r="E55" s="27"/>
      <c r="F55" s="145"/>
      <c r="G55" s="33"/>
      <c r="H55" s="145"/>
      <c r="I55" s="145"/>
      <c r="J55" s="33"/>
      <c r="K55" s="33"/>
      <c r="L55" s="159"/>
      <c r="M55" s="159"/>
      <c r="N55" s="148"/>
    </row>
    <row r="56" spans="1:14" s="3" customFormat="1" ht="15.75" x14ac:dyDescent="0.2">
      <c r="A56" s="39" t="s">
        <v>385</v>
      </c>
      <c r="B56" s="308">
        <v>2</v>
      </c>
      <c r="C56" s="309">
        <v>149.71</v>
      </c>
      <c r="D56" s="371">
        <f t="shared" si="4"/>
        <v>999</v>
      </c>
      <c r="E56" s="11">
        <f>IFERROR(100/'Skjema total MA'!C56*C56,0)</f>
        <v>9.6224849945698937E-2</v>
      </c>
      <c r="F56" s="145"/>
      <c r="G56" s="33"/>
      <c r="H56" s="145"/>
      <c r="I56" s="145"/>
      <c r="J56" s="33"/>
      <c r="K56" s="33"/>
      <c r="L56" s="159"/>
      <c r="M56" s="159"/>
      <c r="N56" s="148"/>
    </row>
    <row r="57" spans="1:14" s="3" customFormat="1" ht="15.75" x14ac:dyDescent="0.2">
      <c r="A57" s="38" t="s">
        <v>382</v>
      </c>
      <c r="B57" s="279">
        <v>2</v>
      </c>
      <c r="C57" s="280">
        <v>149.71</v>
      </c>
      <c r="D57" s="252">
        <f t="shared" si="4"/>
        <v>999</v>
      </c>
      <c r="E57" s="27">
        <f>IFERROR(100/'Skjema total MA'!C57*C57,0)</f>
        <v>0.1682304989994606</v>
      </c>
      <c r="F57" s="145"/>
      <c r="G57" s="33"/>
      <c r="H57" s="145"/>
      <c r="I57" s="145"/>
      <c r="J57" s="33"/>
      <c r="K57" s="33"/>
      <c r="L57" s="159"/>
      <c r="M57" s="159"/>
      <c r="N57" s="148"/>
    </row>
    <row r="58" spans="1:14" s="3" customFormat="1" ht="15.75" x14ac:dyDescent="0.2">
      <c r="A58" s="46" t="s">
        <v>383</v>
      </c>
      <c r="B58" s="281"/>
      <c r="C58" s="282"/>
      <c r="D58" s="253"/>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95"/>
      <c r="C62" s="695"/>
      <c r="D62" s="695"/>
      <c r="E62" s="297"/>
      <c r="F62" s="695"/>
      <c r="G62" s="695"/>
      <c r="H62" s="695"/>
      <c r="I62" s="297"/>
      <c r="J62" s="695"/>
      <c r="K62" s="695"/>
      <c r="L62" s="695"/>
      <c r="M62" s="297"/>
    </row>
    <row r="63" spans="1:14" x14ac:dyDescent="0.2">
      <c r="A63" s="144"/>
      <c r="B63" s="696" t="s">
        <v>0</v>
      </c>
      <c r="C63" s="697"/>
      <c r="D63" s="698"/>
      <c r="E63" s="298"/>
      <c r="F63" s="697" t="s">
        <v>1</v>
      </c>
      <c r="G63" s="697"/>
      <c r="H63" s="697"/>
      <c r="I63" s="302"/>
      <c r="J63" s="696" t="s">
        <v>2</v>
      </c>
      <c r="K63" s="697"/>
      <c r="L63" s="697"/>
      <c r="M63" s="302"/>
    </row>
    <row r="64" spans="1:14" x14ac:dyDescent="0.2">
      <c r="A64" s="140"/>
      <c r="B64" s="152" t="s">
        <v>422</v>
      </c>
      <c r="C64" s="152" t="s">
        <v>423</v>
      </c>
      <c r="D64" s="243" t="s">
        <v>3</v>
      </c>
      <c r="E64" s="303" t="s">
        <v>29</v>
      </c>
      <c r="F64" s="152" t="s">
        <v>422</v>
      </c>
      <c r="G64" s="152" t="s">
        <v>423</v>
      </c>
      <c r="H64" s="243" t="s">
        <v>3</v>
      </c>
      <c r="I64" s="303" t="s">
        <v>29</v>
      </c>
      <c r="J64" s="152" t="s">
        <v>422</v>
      </c>
      <c r="K64" s="152" t="s">
        <v>423</v>
      </c>
      <c r="L64" s="243" t="s">
        <v>3</v>
      </c>
      <c r="M64" s="162" t="s">
        <v>29</v>
      </c>
    </row>
    <row r="65" spans="1:14" x14ac:dyDescent="0.2">
      <c r="A65" s="666"/>
      <c r="B65" s="156"/>
      <c r="C65" s="156"/>
      <c r="D65" s="244" t="s">
        <v>4</v>
      </c>
      <c r="E65" s="156" t="s">
        <v>30</v>
      </c>
      <c r="F65" s="161"/>
      <c r="G65" s="161"/>
      <c r="H65" s="243" t="s">
        <v>4</v>
      </c>
      <c r="I65" s="156" t="s">
        <v>30</v>
      </c>
      <c r="J65" s="161"/>
      <c r="K65" s="205"/>
      <c r="L65" s="156" t="s">
        <v>4</v>
      </c>
      <c r="M65" s="156" t="s">
        <v>30</v>
      </c>
    </row>
    <row r="66" spans="1:14" ht="15.75" x14ac:dyDescent="0.2">
      <c r="A66" s="14" t="s">
        <v>23</v>
      </c>
      <c r="B66" s="350"/>
      <c r="C66" s="350"/>
      <c r="D66" s="347"/>
      <c r="E66" s="11"/>
      <c r="F66" s="349"/>
      <c r="G66" s="349"/>
      <c r="H66" s="347"/>
      <c r="I66" s="11"/>
      <c r="J66" s="307"/>
      <c r="K66" s="314"/>
      <c r="L66" s="371"/>
      <c r="M66" s="11"/>
    </row>
    <row r="67" spans="1:14" x14ac:dyDescent="0.2">
      <c r="A67" s="365" t="s">
        <v>9</v>
      </c>
      <c r="B67" s="44"/>
      <c r="C67" s="145"/>
      <c r="D67" s="166"/>
      <c r="E67" s="27"/>
      <c r="F67" s="232"/>
      <c r="G67" s="145"/>
      <c r="H67" s="166"/>
      <c r="I67" s="27"/>
      <c r="J67" s="285"/>
      <c r="K67" s="44"/>
      <c r="L67" s="252"/>
      <c r="M67" s="27"/>
    </row>
    <row r="68" spans="1:14" x14ac:dyDescent="0.2">
      <c r="A68" s="21" t="s">
        <v>10</v>
      </c>
      <c r="B68" s="290"/>
      <c r="C68" s="291"/>
      <c r="D68" s="166"/>
      <c r="E68" s="27"/>
      <c r="F68" s="290"/>
      <c r="G68" s="291"/>
      <c r="H68" s="166"/>
      <c r="I68" s="27"/>
      <c r="J68" s="285"/>
      <c r="K68" s="44"/>
      <c r="L68" s="252"/>
      <c r="M68" s="27"/>
    </row>
    <row r="69" spans="1:14" ht="15.75" x14ac:dyDescent="0.2">
      <c r="A69" s="294" t="s">
        <v>386</v>
      </c>
      <c r="B69" s="279"/>
      <c r="C69" s="279"/>
      <c r="D69" s="166"/>
      <c r="E69" s="363"/>
      <c r="F69" s="279"/>
      <c r="G69" s="279"/>
      <c r="H69" s="166"/>
      <c r="I69" s="363"/>
      <c r="J69" s="288"/>
      <c r="K69" s="288"/>
      <c r="L69" s="166"/>
      <c r="M69" s="23"/>
    </row>
    <row r="70" spans="1:14" x14ac:dyDescent="0.2">
      <c r="A70" s="294" t="s">
        <v>12</v>
      </c>
      <c r="B70" s="292"/>
      <c r="C70" s="293"/>
      <c r="D70" s="166"/>
      <c r="E70" s="363"/>
      <c r="F70" s="279"/>
      <c r="G70" s="279"/>
      <c r="H70" s="166"/>
      <c r="I70" s="363"/>
      <c r="J70" s="288"/>
      <c r="K70" s="288"/>
      <c r="L70" s="166"/>
      <c r="M70" s="23"/>
    </row>
    <row r="71" spans="1:14" x14ac:dyDescent="0.2">
      <c r="A71" s="294" t="s">
        <v>13</v>
      </c>
      <c r="B71" s="233"/>
      <c r="C71" s="287"/>
      <c r="D71" s="166"/>
      <c r="E71" s="363"/>
      <c r="F71" s="279"/>
      <c r="G71" s="279"/>
      <c r="H71" s="166"/>
      <c r="I71" s="363"/>
      <c r="J71" s="288"/>
      <c r="K71" s="288"/>
      <c r="L71" s="166"/>
      <c r="M71" s="23"/>
    </row>
    <row r="72" spans="1:14" ht="15.75" x14ac:dyDescent="0.2">
      <c r="A72" s="294" t="s">
        <v>387</v>
      </c>
      <c r="B72" s="279"/>
      <c r="C72" s="279"/>
      <c r="D72" s="166"/>
      <c r="E72" s="363"/>
      <c r="F72" s="279"/>
      <c r="G72" s="279"/>
      <c r="H72" s="166"/>
      <c r="I72" s="363"/>
      <c r="J72" s="288"/>
      <c r="K72" s="288"/>
      <c r="L72" s="166"/>
      <c r="M72" s="23"/>
    </row>
    <row r="73" spans="1:14" x14ac:dyDescent="0.2">
      <c r="A73" s="294" t="s">
        <v>12</v>
      </c>
      <c r="B73" s="233"/>
      <c r="C73" s="287"/>
      <c r="D73" s="166"/>
      <c r="E73" s="363"/>
      <c r="F73" s="279"/>
      <c r="G73" s="279"/>
      <c r="H73" s="166"/>
      <c r="I73" s="363"/>
      <c r="J73" s="288"/>
      <c r="K73" s="288"/>
      <c r="L73" s="166"/>
      <c r="M73" s="23"/>
    </row>
    <row r="74" spans="1:14" s="3" customFormat="1" x14ac:dyDescent="0.2">
      <c r="A74" s="294" t="s">
        <v>13</v>
      </c>
      <c r="B74" s="233"/>
      <c r="C74" s="287"/>
      <c r="D74" s="166"/>
      <c r="E74" s="363"/>
      <c r="F74" s="279"/>
      <c r="G74" s="279"/>
      <c r="H74" s="166"/>
      <c r="I74" s="363"/>
      <c r="J74" s="288"/>
      <c r="K74" s="288"/>
      <c r="L74" s="166"/>
      <c r="M74" s="23"/>
      <c r="N74" s="148"/>
    </row>
    <row r="75" spans="1:14" s="3" customFormat="1" x14ac:dyDescent="0.2">
      <c r="A75" s="21" t="s">
        <v>356</v>
      </c>
      <c r="B75" s="232"/>
      <c r="C75" s="145"/>
      <c r="D75" s="166"/>
      <c r="E75" s="27"/>
      <c r="F75" s="232"/>
      <c r="G75" s="145"/>
      <c r="H75" s="166"/>
      <c r="I75" s="27"/>
      <c r="J75" s="285"/>
      <c r="K75" s="44"/>
      <c r="L75" s="252"/>
      <c r="M75" s="27"/>
      <c r="N75" s="148"/>
    </row>
    <row r="76" spans="1:14" s="3" customFormat="1" x14ac:dyDescent="0.2">
      <c r="A76" s="21" t="s">
        <v>355</v>
      </c>
      <c r="B76" s="232"/>
      <c r="C76" s="145"/>
      <c r="D76" s="166"/>
      <c r="E76" s="27"/>
      <c r="F76" s="232"/>
      <c r="G76" s="145"/>
      <c r="H76" s="166"/>
      <c r="I76" s="27"/>
      <c r="J76" s="285"/>
      <c r="K76" s="44"/>
      <c r="L76" s="252"/>
      <c r="M76" s="27"/>
      <c r="N76" s="148"/>
    </row>
    <row r="77" spans="1:14" ht="15.75" x14ac:dyDescent="0.2">
      <c r="A77" s="21" t="s">
        <v>388</v>
      </c>
      <c r="B77" s="232"/>
      <c r="C77" s="232"/>
      <c r="D77" s="166"/>
      <c r="E77" s="27"/>
      <c r="F77" s="232"/>
      <c r="G77" s="145"/>
      <c r="H77" s="166"/>
      <c r="I77" s="27"/>
      <c r="J77" s="285"/>
      <c r="K77" s="44"/>
      <c r="L77" s="252"/>
      <c r="M77" s="27"/>
    </row>
    <row r="78" spans="1:14" x14ac:dyDescent="0.2">
      <c r="A78" s="21" t="s">
        <v>9</v>
      </c>
      <c r="B78" s="232"/>
      <c r="C78" s="145"/>
      <c r="D78" s="166"/>
      <c r="E78" s="27"/>
      <c r="F78" s="232"/>
      <c r="G78" s="145"/>
      <c r="H78" s="166"/>
      <c r="I78" s="27"/>
      <c r="J78" s="285"/>
      <c r="K78" s="44"/>
      <c r="L78" s="252"/>
      <c r="M78" s="27"/>
    </row>
    <row r="79" spans="1:14" x14ac:dyDescent="0.2">
      <c r="A79" s="21" t="s">
        <v>10</v>
      </c>
      <c r="B79" s="290"/>
      <c r="C79" s="291"/>
      <c r="D79" s="166"/>
      <c r="E79" s="27"/>
      <c r="F79" s="290"/>
      <c r="G79" s="291"/>
      <c r="H79" s="166"/>
      <c r="I79" s="27"/>
      <c r="J79" s="285"/>
      <c r="K79" s="44"/>
      <c r="L79" s="252"/>
      <c r="M79" s="27"/>
    </row>
    <row r="80" spans="1:14" ht="15.75" x14ac:dyDescent="0.2">
      <c r="A80" s="294" t="s">
        <v>386</v>
      </c>
      <c r="B80" s="279"/>
      <c r="C80" s="279"/>
      <c r="D80" s="166"/>
      <c r="E80" s="363"/>
      <c r="F80" s="279"/>
      <c r="G80" s="279"/>
      <c r="H80" s="166"/>
      <c r="I80" s="363"/>
      <c r="J80" s="288"/>
      <c r="K80" s="288"/>
      <c r="L80" s="166"/>
      <c r="M80" s="23"/>
    </row>
    <row r="81" spans="1:13" x14ac:dyDescent="0.2">
      <c r="A81" s="294" t="s">
        <v>12</v>
      </c>
      <c r="B81" s="233"/>
      <c r="C81" s="287"/>
      <c r="D81" s="166"/>
      <c r="E81" s="363"/>
      <c r="F81" s="279"/>
      <c r="G81" s="279"/>
      <c r="H81" s="166"/>
      <c r="I81" s="363"/>
      <c r="J81" s="288"/>
      <c r="K81" s="288"/>
      <c r="L81" s="166"/>
      <c r="M81" s="23"/>
    </row>
    <row r="82" spans="1:13" x14ac:dyDescent="0.2">
      <c r="A82" s="294" t="s">
        <v>13</v>
      </c>
      <c r="B82" s="233"/>
      <c r="C82" s="287"/>
      <c r="D82" s="166"/>
      <c r="E82" s="363"/>
      <c r="F82" s="279"/>
      <c r="G82" s="279"/>
      <c r="H82" s="166"/>
      <c r="I82" s="363"/>
      <c r="J82" s="288"/>
      <c r="K82" s="288"/>
      <c r="L82" s="166"/>
      <c r="M82" s="23"/>
    </row>
    <row r="83" spans="1:13" ht="15.75" x14ac:dyDescent="0.2">
      <c r="A83" s="294" t="s">
        <v>387</v>
      </c>
      <c r="B83" s="279"/>
      <c r="C83" s="279"/>
      <c r="D83" s="166"/>
      <c r="E83" s="363"/>
      <c r="F83" s="279"/>
      <c r="G83" s="279"/>
      <c r="H83" s="166"/>
      <c r="I83" s="363"/>
      <c r="J83" s="288"/>
      <c r="K83" s="288"/>
      <c r="L83" s="166"/>
      <c r="M83" s="23"/>
    </row>
    <row r="84" spans="1:13" x14ac:dyDescent="0.2">
      <c r="A84" s="294" t="s">
        <v>12</v>
      </c>
      <c r="B84" s="233"/>
      <c r="C84" s="287"/>
      <c r="D84" s="166"/>
      <c r="E84" s="363"/>
      <c r="F84" s="279"/>
      <c r="G84" s="279"/>
      <c r="H84" s="166"/>
      <c r="I84" s="363"/>
      <c r="J84" s="288"/>
      <c r="K84" s="288"/>
      <c r="L84" s="166"/>
      <c r="M84" s="23"/>
    </row>
    <row r="85" spans="1:13" x14ac:dyDescent="0.2">
      <c r="A85" s="294" t="s">
        <v>13</v>
      </c>
      <c r="B85" s="233"/>
      <c r="C85" s="287"/>
      <c r="D85" s="166"/>
      <c r="E85" s="363"/>
      <c r="F85" s="279"/>
      <c r="G85" s="279"/>
      <c r="H85" s="166"/>
      <c r="I85" s="363"/>
      <c r="J85" s="288"/>
      <c r="K85" s="288"/>
      <c r="L85" s="166"/>
      <c r="M85" s="23"/>
    </row>
    <row r="86" spans="1:13" ht="15.75" x14ac:dyDescent="0.2">
      <c r="A86" s="21" t="s">
        <v>389</v>
      </c>
      <c r="B86" s="232"/>
      <c r="C86" s="145"/>
      <c r="D86" s="166"/>
      <c r="E86" s="27"/>
      <c r="F86" s="232"/>
      <c r="G86" s="145"/>
      <c r="H86" s="166"/>
      <c r="I86" s="27"/>
      <c r="J86" s="285"/>
      <c r="K86" s="44"/>
      <c r="L86" s="252"/>
      <c r="M86" s="27"/>
    </row>
    <row r="87" spans="1:13" ht="15.75" x14ac:dyDescent="0.2">
      <c r="A87" s="13" t="s">
        <v>371</v>
      </c>
      <c r="B87" s="350"/>
      <c r="C87" s="350"/>
      <c r="D87" s="171"/>
      <c r="E87" s="11"/>
      <c r="F87" s="349"/>
      <c r="G87" s="349"/>
      <c r="H87" s="171"/>
      <c r="I87" s="11"/>
      <c r="J87" s="307"/>
      <c r="K87" s="234"/>
      <c r="L87" s="371"/>
      <c r="M87" s="11"/>
    </row>
    <row r="88" spans="1:13" x14ac:dyDescent="0.2">
      <c r="A88" s="21" t="s">
        <v>9</v>
      </c>
      <c r="B88" s="232"/>
      <c r="C88" s="145"/>
      <c r="D88" s="166"/>
      <c r="E88" s="27"/>
      <c r="F88" s="232"/>
      <c r="G88" s="145"/>
      <c r="H88" s="166"/>
      <c r="I88" s="27"/>
      <c r="J88" s="285"/>
      <c r="K88" s="44"/>
      <c r="L88" s="252"/>
      <c r="M88" s="27"/>
    </row>
    <row r="89" spans="1:13" x14ac:dyDescent="0.2">
      <c r="A89" s="21" t="s">
        <v>10</v>
      </c>
      <c r="B89" s="232"/>
      <c r="C89" s="145"/>
      <c r="D89" s="166"/>
      <c r="E89" s="27"/>
      <c r="F89" s="232"/>
      <c r="G89" s="145"/>
      <c r="H89" s="166"/>
      <c r="I89" s="27"/>
      <c r="J89" s="285"/>
      <c r="K89" s="44"/>
      <c r="L89" s="252"/>
      <c r="M89" s="27"/>
    </row>
    <row r="90" spans="1:13" ht="15.75" x14ac:dyDescent="0.2">
      <c r="A90" s="294" t="s">
        <v>386</v>
      </c>
      <c r="B90" s="279"/>
      <c r="C90" s="279"/>
      <c r="D90" s="166"/>
      <c r="E90" s="363"/>
      <c r="F90" s="279"/>
      <c r="G90" s="279"/>
      <c r="H90" s="166"/>
      <c r="I90" s="363"/>
      <c r="J90" s="288"/>
      <c r="K90" s="288"/>
      <c r="L90" s="166"/>
      <c r="M90" s="23"/>
    </row>
    <row r="91" spans="1:13" x14ac:dyDescent="0.2">
      <c r="A91" s="294" t="s">
        <v>12</v>
      </c>
      <c r="B91" s="233"/>
      <c r="C91" s="287"/>
      <c r="D91" s="166"/>
      <c r="E91" s="363"/>
      <c r="F91" s="279"/>
      <c r="G91" s="279"/>
      <c r="H91" s="166"/>
      <c r="I91" s="363"/>
      <c r="J91" s="288"/>
      <c r="K91" s="288"/>
      <c r="L91" s="166"/>
      <c r="M91" s="23"/>
    </row>
    <row r="92" spans="1:13" x14ac:dyDescent="0.2">
      <c r="A92" s="294" t="s">
        <v>13</v>
      </c>
      <c r="B92" s="233"/>
      <c r="C92" s="287"/>
      <c r="D92" s="166"/>
      <c r="E92" s="363"/>
      <c r="F92" s="279"/>
      <c r="G92" s="279"/>
      <c r="H92" s="166"/>
      <c r="I92" s="363"/>
      <c r="J92" s="288"/>
      <c r="K92" s="288"/>
      <c r="L92" s="166"/>
      <c r="M92" s="23"/>
    </row>
    <row r="93" spans="1:13" ht="15.75" x14ac:dyDescent="0.2">
      <c r="A93" s="294" t="s">
        <v>387</v>
      </c>
      <c r="B93" s="279"/>
      <c r="C93" s="279"/>
      <c r="D93" s="166"/>
      <c r="E93" s="363"/>
      <c r="F93" s="279"/>
      <c r="G93" s="279"/>
      <c r="H93" s="166"/>
      <c r="I93" s="363"/>
      <c r="J93" s="288"/>
      <c r="K93" s="288"/>
      <c r="L93" s="166"/>
      <c r="M93" s="23"/>
    </row>
    <row r="94" spans="1:13" x14ac:dyDescent="0.2">
      <c r="A94" s="294" t="s">
        <v>12</v>
      </c>
      <c r="B94" s="233"/>
      <c r="C94" s="287"/>
      <c r="D94" s="166"/>
      <c r="E94" s="363"/>
      <c r="F94" s="279"/>
      <c r="G94" s="279"/>
      <c r="H94" s="166"/>
      <c r="I94" s="363"/>
      <c r="J94" s="288"/>
      <c r="K94" s="288"/>
      <c r="L94" s="166"/>
      <c r="M94" s="23"/>
    </row>
    <row r="95" spans="1:13" x14ac:dyDescent="0.2">
      <c r="A95" s="294" t="s">
        <v>13</v>
      </c>
      <c r="B95" s="233"/>
      <c r="C95" s="287"/>
      <c r="D95" s="166"/>
      <c r="E95" s="363"/>
      <c r="F95" s="279"/>
      <c r="G95" s="279"/>
      <c r="H95" s="166"/>
      <c r="I95" s="363"/>
      <c r="J95" s="288"/>
      <c r="K95" s="288"/>
      <c r="L95" s="166"/>
      <c r="M95" s="23"/>
    </row>
    <row r="96" spans="1:13" x14ac:dyDescent="0.2">
      <c r="A96" s="21" t="s">
        <v>354</v>
      </c>
      <c r="B96" s="232"/>
      <c r="C96" s="145"/>
      <c r="D96" s="166"/>
      <c r="E96" s="27"/>
      <c r="F96" s="232"/>
      <c r="G96" s="145"/>
      <c r="H96" s="166"/>
      <c r="I96" s="27"/>
      <c r="J96" s="285"/>
      <c r="K96" s="44"/>
      <c r="L96" s="252"/>
      <c r="M96" s="27"/>
    </row>
    <row r="97" spans="1:13" x14ac:dyDescent="0.2">
      <c r="A97" s="21" t="s">
        <v>353</v>
      </c>
      <c r="B97" s="232"/>
      <c r="C97" s="145"/>
      <c r="D97" s="166"/>
      <c r="E97" s="27"/>
      <c r="F97" s="232"/>
      <c r="G97" s="145"/>
      <c r="H97" s="166"/>
      <c r="I97" s="27"/>
      <c r="J97" s="285"/>
      <c r="K97" s="44"/>
      <c r="L97" s="252"/>
      <c r="M97" s="27"/>
    </row>
    <row r="98" spans="1:13" ht="15.75" x14ac:dyDescent="0.2">
      <c r="A98" s="21" t="s">
        <v>388</v>
      </c>
      <c r="B98" s="232"/>
      <c r="C98" s="232"/>
      <c r="D98" s="166"/>
      <c r="E98" s="27"/>
      <c r="F98" s="290"/>
      <c r="G98" s="290"/>
      <c r="H98" s="166"/>
      <c r="I98" s="27"/>
      <c r="J98" s="285"/>
      <c r="K98" s="44"/>
      <c r="L98" s="252"/>
      <c r="M98" s="27"/>
    </row>
    <row r="99" spans="1:13" x14ac:dyDescent="0.2">
      <c r="A99" s="21" t="s">
        <v>9</v>
      </c>
      <c r="B99" s="290"/>
      <c r="C99" s="291"/>
      <c r="D99" s="166"/>
      <c r="E99" s="27"/>
      <c r="F99" s="232"/>
      <c r="G99" s="145"/>
      <c r="H99" s="166"/>
      <c r="I99" s="27"/>
      <c r="J99" s="285"/>
      <c r="K99" s="44"/>
      <c r="L99" s="252"/>
      <c r="M99" s="27"/>
    </row>
    <row r="100" spans="1:13" x14ac:dyDescent="0.2">
      <c r="A100" s="21" t="s">
        <v>10</v>
      </c>
      <c r="B100" s="290"/>
      <c r="C100" s="291"/>
      <c r="D100" s="166"/>
      <c r="E100" s="27"/>
      <c r="F100" s="232"/>
      <c r="G100" s="232"/>
      <c r="H100" s="166"/>
      <c r="I100" s="27"/>
      <c r="J100" s="285"/>
      <c r="K100" s="44"/>
      <c r="L100" s="252"/>
      <c r="M100" s="27"/>
    </row>
    <row r="101" spans="1:13" ht="15.75" x14ac:dyDescent="0.2">
      <c r="A101" s="294" t="s">
        <v>386</v>
      </c>
      <c r="B101" s="279"/>
      <c r="C101" s="279"/>
      <c r="D101" s="166"/>
      <c r="E101" s="363"/>
      <c r="F101" s="279"/>
      <c r="G101" s="279"/>
      <c r="H101" s="166"/>
      <c r="I101" s="363"/>
      <c r="J101" s="288"/>
      <c r="K101" s="288"/>
      <c r="L101" s="166"/>
      <c r="M101" s="23"/>
    </row>
    <row r="102" spans="1:13" x14ac:dyDescent="0.2">
      <c r="A102" s="294" t="s">
        <v>12</v>
      </c>
      <c r="B102" s="233"/>
      <c r="C102" s="287"/>
      <c r="D102" s="166"/>
      <c r="E102" s="363"/>
      <c r="F102" s="279"/>
      <c r="G102" s="279"/>
      <c r="H102" s="166"/>
      <c r="I102" s="363"/>
      <c r="J102" s="288"/>
      <c r="K102" s="288"/>
      <c r="L102" s="166"/>
      <c r="M102" s="23"/>
    </row>
    <row r="103" spans="1:13" x14ac:dyDescent="0.2">
      <c r="A103" s="294" t="s">
        <v>13</v>
      </c>
      <c r="B103" s="233"/>
      <c r="C103" s="287"/>
      <c r="D103" s="166"/>
      <c r="E103" s="363"/>
      <c r="F103" s="279"/>
      <c r="G103" s="279"/>
      <c r="H103" s="166"/>
      <c r="I103" s="363"/>
      <c r="J103" s="288"/>
      <c r="K103" s="288"/>
      <c r="L103" s="166"/>
      <c r="M103" s="23"/>
    </row>
    <row r="104" spans="1:13" ht="15.75" x14ac:dyDescent="0.2">
      <c r="A104" s="294" t="s">
        <v>387</v>
      </c>
      <c r="B104" s="279"/>
      <c r="C104" s="279"/>
      <c r="D104" s="166"/>
      <c r="E104" s="363"/>
      <c r="F104" s="279"/>
      <c r="G104" s="279"/>
      <c r="H104" s="166"/>
      <c r="I104" s="363"/>
      <c r="J104" s="288"/>
      <c r="K104" s="288"/>
      <c r="L104" s="166"/>
      <c r="M104" s="23"/>
    </row>
    <row r="105" spans="1:13" x14ac:dyDescent="0.2">
      <c r="A105" s="294" t="s">
        <v>12</v>
      </c>
      <c r="B105" s="233"/>
      <c r="C105" s="287"/>
      <c r="D105" s="166"/>
      <c r="E105" s="363"/>
      <c r="F105" s="279"/>
      <c r="G105" s="279"/>
      <c r="H105" s="166"/>
      <c r="I105" s="363"/>
      <c r="J105" s="288"/>
      <c r="K105" s="288"/>
      <c r="L105" s="166"/>
      <c r="M105" s="23"/>
    </row>
    <row r="106" spans="1:13" x14ac:dyDescent="0.2">
      <c r="A106" s="294" t="s">
        <v>13</v>
      </c>
      <c r="B106" s="233"/>
      <c r="C106" s="287"/>
      <c r="D106" s="166"/>
      <c r="E106" s="363"/>
      <c r="F106" s="279"/>
      <c r="G106" s="279"/>
      <c r="H106" s="166"/>
      <c r="I106" s="363"/>
      <c r="J106" s="288"/>
      <c r="K106" s="288"/>
      <c r="L106" s="166"/>
      <c r="M106" s="23"/>
    </row>
    <row r="107" spans="1:13" ht="15.75" x14ac:dyDescent="0.2">
      <c r="A107" s="21" t="s">
        <v>389</v>
      </c>
      <c r="B107" s="232"/>
      <c r="C107" s="145"/>
      <c r="D107" s="166"/>
      <c r="E107" s="27"/>
      <c r="F107" s="232"/>
      <c r="G107" s="145"/>
      <c r="H107" s="166"/>
      <c r="I107" s="27"/>
      <c r="J107" s="285"/>
      <c r="K107" s="44"/>
      <c r="L107" s="252"/>
      <c r="M107" s="27"/>
    </row>
    <row r="108" spans="1:13" ht="15.75" x14ac:dyDescent="0.2">
      <c r="A108" s="21" t="s">
        <v>390</v>
      </c>
      <c r="B108" s="232"/>
      <c r="C108" s="232"/>
      <c r="D108" s="166"/>
      <c r="E108" s="27"/>
      <c r="F108" s="232"/>
      <c r="G108" s="232"/>
      <c r="H108" s="166"/>
      <c r="I108" s="27"/>
      <c r="J108" s="285"/>
      <c r="K108" s="44"/>
      <c r="L108" s="252"/>
      <c r="M108" s="27"/>
    </row>
    <row r="109" spans="1:13" ht="15.75" x14ac:dyDescent="0.2">
      <c r="A109" s="21" t="s">
        <v>391</v>
      </c>
      <c r="B109" s="232"/>
      <c r="C109" s="232"/>
      <c r="D109" s="166"/>
      <c r="E109" s="27"/>
      <c r="F109" s="232"/>
      <c r="G109" s="232"/>
      <c r="H109" s="166"/>
      <c r="I109" s="27"/>
      <c r="J109" s="285"/>
      <c r="K109" s="44"/>
      <c r="L109" s="252"/>
      <c r="M109" s="27"/>
    </row>
    <row r="110" spans="1:13" ht="15.75" x14ac:dyDescent="0.2">
      <c r="A110" s="21" t="s">
        <v>392</v>
      </c>
      <c r="B110" s="232"/>
      <c r="C110" s="232"/>
      <c r="D110" s="166"/>
      <c r="E110" s="27"/>
      <c r="F110" s="232"/>
      <c r="G110" s="232"/>
      <c r="H110" s="166"/>
      <c r="I110" s="27"/>
      <c r="J110" s="285"/>
      <c r="K110" s="44"/>
      <c r="L110" s="252"/>
      <c r="M110" s="27"/>
    </row>
    <row r="111" spans="1:13" ht="15.75" x14ac:dyDescent="0.2">
      <c r="A111" s="13" t="s">
        <v>372</v>
      </c>
      <c r="B111" s="306"/>
      <c r="C111" s="159"/>
      <c r="D111" s="171"/>
      <c r="E111" s="11"/>
      <c r="F111" s="306"/>
      <c r="G111" s="159"/>
      <c r="H111" s="171"/>
      <c r="I111" s="11"/>
      <c r="J111" s="307"/>
      <c r="K111" s="234"/>
      <c r="L111" s="371"/>
      <c r="M111" s="11"/>
    </row>
    <row r="112" spans="1:13" x14ac:dyDescent="0.2">
      <c r="A112" s="21" t="s">
        <v>9</v>
      </c>
      <c r="B112" s="232"/>
      <c r="C112" s="145"/>
      <c r="D112" s="166"/>
      <c r="E112" s="27"/>
      <c r="F112" s="232"/>
      <c r="G112" s="145"/>
      <c r="H112" s="166"/>
      <c r="I112" s="27"/>
      <c r="J112" s="285"/>
      <c r="K112" s="44"/>
      <c r="L112" s="252"/>
      <c r="M112" s="27"/>
    </row>
    <row r="113" spans="1:14" x14ac:dyDescent="0.2">
      <c r="A113" s="21" t="s">
        <v>10</v>
      </c>
      <c r="B113" s="232"/>
      <c r="C113" s="145"/>
      <c r="D113" s="166"/>
      <c r="E113" s="27"/>
      <c r="F113" s="232"/>
      <c r="G113" s="145"/>
      <c r="H113" s="166"/>
      <c r="I113" s="27"/>
      <c r="J113" s="285"/>
      <c r="K113" s="44"/>
      <c r="L113" s="252"/>
      <c r="M113" s="27"/>
    </row>
    <row r="114" spans="1:14" x14ac:dyDescent="0.2">
      <c r="A114" s="21" t="s">
        <v>26</v>
      </c>
      <c r="B114" s="232"/>
      <c r="C114" s="145"/>
      <c r="D114" s="166"/>
      <c r="E114" s="27"/>
      <c r="F114" s="232"/>
      <c r="G114" s="145"/>
      <c r="H114" s="166"/>
      <c r="I114" s="27"/>
      <c r="J114" s="285"/>
      <c r="K114" s="44"/>
      <c r="L114" s="252"/>
      <c r="M114" s="27"/>
    </row>
    <row r="115" spans="1:14" x14ac:dyDescent="0.2">
      <c r="A115" s="294" t="s">
        <v>15</v>
      </c>
      <c r="B115" s="279"/>
      <c r="C115" s="279"/>
      <c r="D115" s="166"/>
      <c r="E115" s="363"/>
      <c r="F115" s="279"/>
      <c r="G115" s="279"/>
      <c r="H115" s="166"/>
      <c r="I115" s="363"/>
      <c r="J115" s="288"/>
      <c r="K115" s="288"/>
      <c r="L115" s="166"/>
      <c r="M115" s="23"/>
    </row>
    <row r="116" spans="1:14" ht="15.75" x14ac:dyDescent="0.2">
      <c r="A116" s="21" t="s">
        <v>393</v>
      </c>
      <c r="B116" s="232"/>
      <c r="C116" s="232"/>
      <c r="D116" s="166"/>
      <c r="E116" s="27"/>
      <c r="F116" s="232"/>
      <c r="G116" s="232"/>
      <c r="H116" s="166"/>
      <c r="I116" s="27"/>
      <c r="J116" s="285"/>
      <c r="K116" s="44"/>
      <c r="L116" s="252"/>
      <c r="M116" s="27"/>
    </row>
    <row r="117" spans="1:14" ht="15.75" x14ac:dyDescent="0.2">
      <c r="A117" s="21" t="s">
        <v>394</v>
      </c>
      <c r="B117" s="232"/>
      <c r="C117" s="232"/>
      <c r="D117" s="166"/>
      <c r="E117" s="27"/>
      <c r="F117" s="232"/>
      <c r="G117" s="232"/>
      <c r="H117" s="166"/>
      <c r="I117" s="27"/>
      <c r="J117" s="285"/>
      <c r="K117" s="44"/>
      <c r="L117" s="252"/>
      <c r="M117" s="27"/>
    </row>
    <row r="118" spans="1:14" ht="15.75" x14ac:dyDescent="0.2">
      <c r="A118" s="21" t="s">
        <v>392</v>
      </c>
      <c r="B118" s="232"/>
      <c r="C118" s="232"/>
      <c r="D118" s="166"/>
      <c r="E118" s="27"/>
      <c r="F118" s="232"/>
      <c r="G118" s="232"/>
      <c r="H118" s="166"/>
      <c r="I118" s="27"/>
      <c r="J118" s="285"/>
      <c r="K118" s="44"/>
      <c r="L118" s="252"/>
      <c r="M118" s="27"/>
    </row>
    <row r="119" spans="1:14" ht="15.75" x14ac:dyDescent="0.2">
      <c r="A119" s="13" t="s">
        <v>373</v>
      </c>
      <c r="B119" s="306"/>
      <c r="C119" s="159"/>
      <c r="D119" s="171"/>
      <c r="E119" s="11"/>
      <c r="F119" s="306"/>
      <c r="G119" s="159"/>
      <c r="H119" s="171"/>
      <c r="I119" s="11"/>
      <c r="J119" s="307"/>
      <c r="K119" s="234"/>
      <c r="L119" s="371"/>
      <c r="M119" s="11"/>
    </row>
    <row r="120" spans="1:14" x14ac:dyDescent="0.2">
      <c r="A120" s="21" t="s">
        <v>9</v>
      </c>
      <c r="B120" s="232"/>
      <c r="C120" s="145"/>
      <c r="D120" s="166"/>
      <c r="E120" s="27"/>
      <c r="F120" s="232"/>
      <c r="G120" s="145"/>
      <c r="H120" s="166"/>
      <c r="I120" s="27"/>
      <c r="J120" s="285"/>
      <c r="K120" s="44"/>
      <c r="L120" s="252"/>
      <c r="M120" s="27"/>
    </row>
    <row r="121" spans="1:14" x14ac:dyDescent="0.2">
      <c r="A121" s="21" t="s">
        <v>10</v>
      </c>
      <c r="B121" s="232"/>
      <c r="C121" s="145"/>
      <c r="D121" s="166"/>
      <c r="E121" s="27"/>
      <c r="F121" s="232"/>
      <c r="G121" s="145"/>
      <c r="H121" s="166"/>
      <c r="I121" s="27"/>
      <c r="J121" s="285"/>
      <c r="K121" s="44"/>
      <c r="L121" s="252"/>
      <c r="M121" s="27"/>
    </row>
    <row r="122" spans="1:14" x14ac:dyDescent="0.2">
      <c r="A122" s="21" t="s">
        <v>26</v>
      </c>
      <c r="B122" s="232"/>
      <c r="C122" s="145"/>
      <c r="D122" s="166"/>
      <c r="E122" s="27"/>
      <c r="F122" s="232"/>
      <c r="G122" s="145"/>
      <c r="H122" s="166"/>
      <c r="I122" s="27"/>
      <c r="J122" s="285"/>
      <c r="K122" s="44"/>
      <c r="L122" s="252"/>
      <c r="M122" s="27"/>
    </row>
    <row r="123" spans="1:14" x14ac:dyDescent="0.2">
      <c r="A123" s="294" t="s">
        <v>14</v>
      </c>
      <c r="B123" s="279"/>
      <c r="C123" s="279"/>
      <c r="D123" s="166"/>
      <c r="E123" s="363"/>
      <c r="F123" s="279"/>
      <c r="G123" s="279"/>
      <c r="H123" s="166"/>
      <c r="I123" s="363"/>
      <c r="J123" s="288"/>
      <c r="K123" s="288"/>
      <c r="L123" s="166"/>
      <c r="M123" s="23"/>
    </row>
    <row r="124" spans="1:14" ht="15.75" x14ac:dyDescent="0.2">
      <c r="A124" s="21" t="s">
        <v>399</v>
      </c>
      <c r="B124" s="232"/>
      <c r="C124" s="232"/>
      <c r="D124" s="166"/>
      <c r="E124" s="27"/>
      <c r="F124" s="232"/>
      <c r="G124" s="232"/>
      <c r="H124" s="166"/>
      <c r="I124" s="27"/>
      <c r="J124" s="285"/>
      <c r="K124" s="44"/>
      <c r="L124" s="252"/>
      <c r="M124" s="27"/>
    </row>
    <row r="125" spans="1:14" ht="15.75" x14ac:dyDescent="0.2">
      <c r="A125" s="21" t="s">
        <v>391</v>
      </c>
      <c r="B125" s="232"/>
      <c r="C125" s="232"/>
      <c r="D125" s="166"/>
      <c r="E125" s="27"/>
      <c r="F125" s="232"/>
      <c r="G125" s="232"/>
      <c r="H125" s="166"/>
      <c r="I125" s="27"/>
      <c r="J125" s="285"/>
      <c r="K125" s="44"/>
      <c r="L125" s="252"/>
      <c r="M125" s="27"/>
    </row>
    <row r="126" spans="1:14" ht="15.75" x14ac:dyDescent="0.2">
      <c r="A126" s="10" t="s">
        <v>392</v>
      </c>
      <c r="B126" s="45"/>
      <c r="C126" s="45"/>
      <c r="D126" s="167"/>
      <c r="E126" s="364"/>
      <c r="F126" s="45"/>
      <c r="G126" s="45"/>
      <c r="H126" s="167"/>
      <c r="I126" s="22"/>
      <c r="J126" s="286"/>
      <c r="K126" s="45"/>
      <c r="L126" s="253"/>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95"/>
      <c r="C130" s="695"/>
      <c r="D130" s="695"/>
      <c r="E130" s="297"/>
      <c r="F130" s="695"/>
      <c r="G130" s="695"/>
      <c r="H130" s="695"/>
      <c r="I130" s="297"/>
      <c r="J130" s="695"/>
      <c r="K130" s="695"/>
      <c r="L130" s="695"/>
      <c r="M130" s="297"/>
    </row>
    <row r="131" spans="1:14" s="3" customFormat="1" x14ac:dyDescent="0.2">
      <c r="A131" s="144"/>
      <c r="B131" s="696" t="s">
        <v>0</v>
      </c>
      <c r="C131" s="697"/>
      <c r="D131" s="697"/>
      <c r="E131" s="299"/>
      <c r="F131" s="696" t="s">
        <v>1</v>
      </c>
      <c r="G131" s="697"/>
      <c r="H131" s="697"/>
      <c r="I131" s="302"/>
      <c r="J131" s="696" t="s">
        <v>2</v>
      </c>
      <c r="K131" s="697"/>
      <c r="L131" s="697"/>
      <c r="M131" s="302"/>
      <c r="N131" s="148"/>
    </row>
    <row r="132" spans="1:14" s="3" customFormat="1" x14ac:dyDescent="0.2">
      <c r="A132" s="140"/>
      <c r="B132" s="152" t="s">
        <v>422</v>
      </c>
      <c r="C132" s="152" t="s">
        <v>423</v>
      </c>
      <c r="D132" s="243" t="s">
        <v>3</v>
      </c>
      <c r="E132" s="303" t="s">
        <v>29</v>
      </c>
      <c r="F132" s="152" t="s">
        <v>422</v>
      </c>
      <c r="G132" s="152" t="s">
        <v>423</v>
      </c>
      <c r="H132" s="205" t="s">
        <v>3</v>
      </c>
      <c r="I132" s="162" t="s">
        <v>29</v>
      </c>
      <c r="J132" s="152" t="s">
        <v>422</v>
      </c>
      <c r="K132" s="152" t="s">
        <v>423</v>
      </c>
      <c r="L132" s="244" t="s">
        <v>3</v>
      </c>
      <c r="M132" s="162" t="s">
        <v>29</v>
      </c>
      <c r="N132" s="148"/>
    </row>
    <row r="133" spans="1:14" s="3" customFormat="1" x14ac:dyDescent="0.2">
      <c r="A133" s="666"/>
      <c r="B133" s="156"/>
      <c r="C133" s="156"/>
      <c r="D133" s="244" t="s">
        <v>4</v>
      </c>
      <c r="E133" s="156" t="s">
        <v>30</v>
      </c>
      <c r="F133" s="161"/>
      <c r="G133" s="161"/>
      <c r="H133" s="205" t="s">
        <v>4</v>
      </c>
      <c r="I133" s="156" t="s">
        <v>30</v>
      </c>
      <c r="J133" s="156"/>
      <c r="K133" s="156"/>
      <c r="L133" s="150" t="s">
        <v>4</v>
      </c>
      <c r="M133" s="156" t="s">
        <v>30</v>
      </c>
      <c r="N133" s="148"/>
    </row>
    <row r="134" spans="1:14" s="3" customFormat="1" ht="15.75" x14ac:dyDescent="0.2">
      <c r="A134" s="14" t="s">
        <v>395</v>
      </c>
      <c r="B134" s="234"/>
      <c r="C134" s="307"/>
      <c r="D134" s="347"/>
      <c r="E134" s="11"/>
      <c r="F134" s="314"/>
      <c r="G134" s="315"/>
      <c r="H134" s="374"/>
      <c r="I134" s="24"/>
      <c r="J134" s="316"/>
      <c r="K134" s="316"/>
      <c r="L134" s="370"/>
      <c r="M134" s="11"/>
      <c r="N134" s="148"/>
    </row>
    <row r="135" spans="1:14" s="3" customFormat="1" ht="15.75" x14ac:dyDescent="0.2">
      <c r="A135" s="13" t="s">
        <v>400</v>
      </c>
      <c r="B135" s="234"/>
      <c r="C135" s="307"/>
      <c r="D135" s="171"/>
      <c r="E135" s="11"/>
      <c r="F135" s="234"/>
      <c r="G135" s="307"/>
      <c r="H135" s="375"/>
      <c r="I135" s="24"/>
      <c r="J135" s="306"/>
      <c r="K135" s="306"/>
      <c r="L135" s="371"/>
      <c r="M135" s="11"/>
      <c r="N135" s="148"/>
    </row>
    <row r="136" spans="1:14" s="3" customFormat="1" ht="15.75" x14ac:dyDescent="0.2">
      <c r="A136" s="13" t="s">
        <v>397</v>
      </c>
      <c r="B136" s="234"/>
      <c r="C136" s="307"/>
      <c r="D136" s="171"/>
      <c r="E136" s="11"/>
      <c r="F136" s="234"/>
      <c r="G136" s="307"/>
      <c r="H136" s="375"/>
      <c r="I136" s="24"/>
      <c r="J136" s="306"/>
      <c r="K136" s="306"/>
      <c r="L136" s="371"/>
      <c r="M136" s="11"/>
      <c r="N136" s="148"/>
    </row>
    <row r="137" spans="1:14" s="3" customFormat="1" ht="15.75" x14ac:dyDescent="0.2">
      <c r="A137" s="41" t="s">
        <v>398</v>
      </c>
      <c r="B137" s="274"/>
      <c r="C137" s="313"/>
      <c r="D137" s="169"/>
      <c r="E137" s="9"/>
      <c r="F137" s="274"/>
      <c r="G137" s="313"/>
      <c r="H137" s="376"/>
      <c r="I137" s="36"/>
      <c r="J137" s="312"/>
      <c r="K137" s="312"/>
      <c r="L137" s="372"/>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750" priority="132">
      <formula>kvartal &lt; 4</formula>
    </cfRule>
  </conditionalFormatting>
  <conditionalFormatting sqref="B69">
    <cfRule type="expression" dxfId="749" priority="100">
      <formula>kvartal &lt; 4</formula>
    </cfRule>
  </conditionalFormatting>
  <conditionalFormatting sqref="C69">
    <cfRule type="expression" dxfId="748" priority="99">
      <formula>kvartal &lt; 4</formula>
    </cfRule>
  </conditionalFormatting>
  <conditionalFormatting sqref="B72">
    <cfRule type="expression" dxfId="747" priority="98">
      <formula>kvartal &lt; 4</formula>
    </cfRule>
  </conditionalFormatting>
  <conditionalFormatting sqref="C72">
    <cfRule type="expression" dxfId="746" priority="97">
      <formula>kvartal &lt; 4</formula>
    </cfRule>
  </conditionalFormatting>
  <conditionalFormatting sqref="B80">
    <cfRule type="expression" dxfId="745" priority="96">
      <formula>kvartal &lt; 4</formula>
    </cfRule>
  </conditionalFormatting>
  <conditionalFormatting sqref="C80">
    <cfRule type="expression" dxfId="744" priority="95">
      <formula>kvartal &lt; 4</formula>
    </cfRule>
  </conditionalFormatting>
  <conditionalFormatting sqref="B83">
    <cfRule type="expression" dxfId="743" priority="94">
      <formula>kvartal &lt; 4</formula>
    </cfRule>
  </conditionalFormatting>
  <conditionalFormatting sqref="C83">
    <cfRule type="expression" dxfId="742" priority="93">
      <formula>kvartal &lt; 4</formula>
    </cfRule>
  </conditionalFormatting>
  <conditionalFormatting sqref="B90">
    <cfRule type="expression" dxfId="741" priority="84">
      <formula>kvartal &lt; 4</formula>
    </cfRule>
  </conditionalFormatting>
  <conditionalFormatting sqref="C90">
    <cfRule type="expression" dxfId="740" priority="83">
      <formula>kvartal &lt; 4</formula>
    </cfRule>
  </conditionalFormatting>
  <conditionalFormatting sqref="B93">
    <cfRule type="expression" dxfId="739" priority="82">
      <formula>kvartal &lt; 4</formula>
    </cfRule>
  </conditionalFormatting>
  <conditionalFormatting sqref="C93">
    <cfRule type="expression" dxfId="738" priority="81">
      <formula>kvartal &lt; 4</formula>
    </cfRule>
  </conditionalFormatting>
  <conditionalFormatting sqref="B101">
    <cfRule type="expression" dxfId="737" priority="80">
      <formula>kvartal &lt; 4</formula>
    </cfRule>
  </conditionalFormatting>
  <conditionalFormatting sqref="C101">
    <cfRule type="expression" dxfId="736" priority="79">
      <formula>kvartal &lt; 4</formula>
    </cfRule>
  </conditionalFormatting>
  <conditionalFormatting sqref="B104">
    <cfRule type="expression" dxfId="735" priority="78">
      <formula>kvartal &lt; 4</formula>
    </cfRule>
  </conditionalFormatting>
  <conditionalFormatting sqref="C104">
    <cfRule type="expression" dxfId="734" priority="77">
      <formula>kvartal &lt; 4</formula>
    </cfRule>
  </conditionalFormatting>
  <conditionalFormatting sqref="B115">
    <cfRule type="expression" dxfId="733" priority="76">
      <formula>kvartal &lt; 4</formula>
    </cfRule>
  </conditionalFormatting>
  <conditionalFormatting sqref="C115">
    <cfRule type="expression" dxfId="732" priority="75">
      <formula>kvartal &lt; 4</formula>
    </cfRule>
  </conditionalFormatting>
  <conditionalFormatting sqref="B123">
    <cfRule type="expression" dxfId="731" priority="74">
      <formula>kvartal &lt; 4</formula>
    </cfRule>
  </conditionalFormatting>
  <conditionalFormatting sqref="C123">
    <cfRule type="expression" dxfId="730" priority="73">
      <formula>kvartal &lt; 4</formula>
    </cfRule>
  </conditionalFormatting>
  <conditionalFormatting sqref="F70">
    <cfRule type="expression" dxfId="729" priority="72">
      <formula>kvartal &lt; 4</formula>
    </cfRule>
  </conditionalFormatting>
  <conditionalFormatting sqref="G70">
    <cfRule type="expression" dxfId="728" priority="71">
      <formula>kvartal &lt; 4</formula>
    </cfRule>
  </conditionalFormatting>
  <conditionalFormatting sqref="F71:G71">
    <cfRule type="expression" dxfId="727" priority="70">
      <formula>kvartal &lt; 4</formula>
    </cfRule>
  </conditionalFormatting>
  <conditionalFormatting sqref="F73:G74">
    <cfRule type="expression" dxfId="726" priority="69">
      <formula>kvartal &lt; 4</formula>
    </cfRule>
  </conditionalFormatting>
  <conditionalFormatting sqref="F81:G82">
    <cfRule type="expression" dxfId="725" priority="68">
      <formula>kvartal &lt; 4</formula>
    </cfRule>
  </conditionalFormatting>
  <conditionalFormatting sqref="F84:G85">
    <cfRule type="expression" dxfId="724" priority="67">
      <formula>kvartal &lt; 4</formula>
    </cfRule>
  </conditionalFormatting>
  <conditionalFormatting sqref="F91:G92">
    <cfRule type="expression" dxfId="723" priority="62">
      <formula>kvartal &lt; 4</formula>
    </cfRule>
  </conditionalFormatting>
  <conditionalFormatting sqref="F94:G95">
    <cfRule type="expression" dxfId="722" priority="61">
      <formula>kvartal &lt; 4</formula>
    </cfRule>
  </conditionalFormatting>
  <conditionalFormatting sqref="F102:G103">
    <cfRule type="expression" dxfId="721" priority="60">
      <formula>kvartal &lt; 4</formula>
    </cfRule>
  </conditionalFormatting>
  <conditionalFormatting sqref="F105:G106">
    <cfRule type="expression" dxfId="720" priority="59">
      <formula>kvartal &lt; 4</formula>
    </cfRule>
  </conditionalFormatting>
  <conditionalFormatting sqref="F115">
    <cfRule type="expression" dxfId="719" priority="58">
      <formula>kvartal &lt; 4</formula>
    </cfRule>
  </conditionalFormatting>
  <conditionalFormatting sqref="G115">
    <cfRule type="expression" dxfId="718" priority="57">
      <formula>kvartal &lt; 4</formula>
    </cfRule>
  </conditionalFormatting>
  <conditionalFormatting sqref="F123:G123">
    <cfRule type="expression" dxfId="717" priority="56">
      <formula>kvartal &lt; 4</formula>
    </cfRule>
  </conditionalFormatting>
  <conditionalFormatting sqref="F69:G69">
    <cfRule type="expression" dxfId="716" priority="55">
      <formula>kvartal &lt; 4</formula>
    </cfRule>
  </conditionalFormatting>
  <conditionalFormatting sqref="F72:G72">
    <cfRule type="expression" dxfId="715" priority="54">
      <formula>kvartal &lt; 4</formula>
    </cfRule>
  </conditionalFormatting>
  <conditionalFormatting sqref="F80:G80">
    <cfRule type="expression" dxfId="714" priority="53">
      <formula>kvartal &lt; 4</formula>
    </cfRule>
  </conditionalFormatting>
  <conditionalFormatting sqref="F83:G83">
    <cfRule type="expression" dxfId="713" priority="52">
      <formula>kvartal &lt; 4</formula>
    </cfRule>
  </conditionalFormatting>
  <conditionalFormatting sqref="F90:G90">
    <cfRule type="expression" dxfId="712" priority="46">
      <formula>kvartal &lt; 4</formula>
    </cfRule>
  </conditionalFormatting>
  <conditionalFormatting sqref="F93">
    <cfRule type="expression" dxfId="711" priority="45">
      <formula>kvartal &lt; 4</formula>
    </cfRule>
  </conditionalFormatting>
  <conditionalFormatting sqref="G93">
    <cfRule type="expression" dxfId="710" priority="44">
      <formula>kvartal &lt; 4</formula>
    </cfRule>
  </conditionalFormatting>
  <conditionalFormatting sqref="F101">
    <cfRule type="expression" dxfId="709" priority="43">
      <formula>kvartal &lt; 4</formula>
    </cfRule>
  </conditionalFormatting>
  <conditionalFormatting sqref="G101">
    <cfRule type="expression" dxfId="708" priority="42">
      <formula>kvartal &lt; 4</formula>
    </cfRule>
  </conditionalFormatting>
  <conditionalFormatting sqref="G104">
    <cfRule type="expression" dxfId="707" priority="41">
      <formula>kvartal &lt; 4</formula>
    </cfRule>
  </conditionalFormatting>
  <conditionalFormatting sqref="F104">
    <cfRule type="expression" dxfId="706" priority="40">
      <formula>kvartal &lt; 4</formula>
    </cfRule>
  </conditionalFormatting>
  <conditionalFormatting sqref="J69:K73">
    <cfRule type="expression" dxfId="705" priority="39">
      <formula>kvartal &lt; 4</formula>
    </cfRule>
  </conditionalFormatting>
  <conditionalFormatting sqref="J74:K74">
    <cfRule type="expression" dxfId="704" priority="38">
      <formula>kvartal &lt; 4</formula>
    </cfRule>
  </conditionalFormatting>
  <conditionalFormatting sqref="J80:K85">
    <cfRule type="expression" dxfId="703" priority="37">
      <formula>kvartal &lt; 4</formula>
    </cfRule>
  </conditionalFormatting>
  <conditionalFormatting sqref="J90:K95">
    <cfRule type="expression" dxfId="702" priority="34">
      <formula>kvartal &lt; 4</formula>
    </cfRule>
  </conditionalFormatting>
  <conditionalFormatting sqref="J101:K106">
    <cfRule type="expression" dxfId="701" priority="33">
      <formula>kvartal &lt; 4</formula>
    </cfRule>
  </conditionalFormatting>
  <conditionalFormatting sqref="J115:K115">
    <cfRule type="expression" dxfId="700" priority="32">
      <formula>kvartal &lt; 4</formula>
    </cfRule>
  </conditionalFormatting>
  <conditionalFormatting sqref="J123:K123">
    <cfRule type="expression" dxfId="699" priority="31">
      <formula>kvartal &lt; 4</formula>
    </cfRule>
  </conditionalFormatting>
  <conditionalFormatting sqref="A50:A52">
    <cfRule type="expression" dxfId="698" priority="12">
      <formula>kvartal &lt; 4</formula>
    </cfRule>
  </conditionalFormatting>
  <conditionalFormatting sqref="A69:A74">
    <cfRule type="expression" dxfId="697" priority="10">
      <formula>kvartal &lt; 4</formula>
    </cfRule>
  </conditionalFormatting>
  <conditionalFormatting sqref="A80:A85">
    <cfRule type="expression" dxfId="696" priority="9">
      <formula>kvartal &lt; 4</formula>
    </cfRule>
  </conditionalFormatting>
  <conditionalFormatting sqref="A90:A95">
    <cfRule type="expression" dxfId="695" priority="6">
      <formula>kvartal &lt; 4</formula>
    </cfRule>
  </conditionalFormatting>
  <conditionalFormatting sqref="A101:A106">
    <cfRule type="expression" dxfId="694" priority="5">
      <formula>kvartal &lt; 4</formula>
    </cfRule>
  </conditionalFormatting>
  <conditionalFormatting sqref="A115">
    <cfRule type="expression" dxfId="693" priority="4">
      <formula>kvartal &lt; 4</formula>
    </cfRule>
  </conditionalFormatting>
  <conditionalFormatting sqref="A123">
    <cfRule type="expression" dxfId="692" priority="3">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64"/>
      <c r="C1" s="246" t="s">
        <v>137</v>
      </c>
      <c r="D1" s="26"/>
      <c r="E1" s="26"/>
      <c r="F1" s="26"/>
      <c r="G1" s="26"/>
      <c r="H1" s="26"/>
      <c r="I1" s="26"/>
      <c r="J1" s="26"/>
      <c r="K1" s="26"/>
      <c r="L1" s="26"/>
      <c r="M1" s="26"/>
    </row>
    <row r="2" spans="1:14" ht="15.75" x14ac:dyDescent="0.25">
      <c r="A2" s="165" t="s">
        <v>28</v>
      </c>
      <c r="B2" s="700"/>
      <c r="C2" s="700"/>
      <c r="D2" s="700"/>
      <c r="E2" s="297"/>
      <c r="F2" s="700"/>
      <c r="G2" s="700"/>
      <c r="H2" s="700"/>
      <c r="I2" s="297"/>
      <c r="J2" s="700"/>
      <c r="K2" s="700"/>
      <c r="L2" s="700"/>
      <c r="M2" s="297"/>
    </row>
    <row r="3" spans="1:14" ht="15.75" x14ac:dyDescent="0.25">
      <c r="A3" s="163"/>
      <c r="B3" s="297"/>
      <c r="C3" s="297"/>
      <c r="D3" s="297"/>
      <c r="E3" s="297"/>
      <c r="F3" s="297"/>
      <c r="G3" s="297"/>
      <c r="H3" s="297"/>
      <c r="I3" s="297"/>
      <c r="J3" s="297"/>
      <c r="K3" s="297"/>
      <c r="L3" s="297"/>
      <c r="M3" s="297"/>
    </row>
    <row r="4" spans="1:14" x14ac:dyDescent="0.2">
      <c r="A4" s="144"/>
      <c r="B4" s="696" t="s">
        <v>0</v>
      </c>
      <c r="C4" s="697"/>
      <c r="D4" s="697"/>
      <c r="E4" s="299"/>
      <c r="F4" s="696" t="s">
        <v>1</v>
      </c>
      <c r="G4" s="697"/>
      <c r="H4" s="697"/>
      <c r="I4" s="302"/>
      <c r="J4" s="696" t="s">
        <v>2</v>
      </c>
      <c r="K4" s="697"/>
      <c r="L4" s="697"/>
      <c r="M4" s="302"/>
    </row>
    <row r="5" spans="1:14" x14ac:dyDescent="0.2">
      <c r="A5" s="158"/>
      <c r="B5" s="152" t="s">
        <v>422</v>
      </c>
      <c r="C5" s="152" t="s">
        <v>423</v>
      </c>
      <c r="D5" s="243" t="s">
        <v>3</v>
      </c>
      <c r="E5" s="303" t="s">
        <v>29</v>
      </c>
      <c r="F5" s="152" t="s">
        <v>422</v>
      </c>
      <c r="G5" s="152" t="s">
        <v>423</v>
      </c>
      <c r="H5" s="243" t="s">
        <v>3</v>
      </c>
      <c r="I5" s="162" t="s">
        <v>29</v>
      </c>
      <c r="J5" s="152" t="s">
        <v>422</v>
      </c>
      <c r="K5" s="152" t="s">
        <v>423</v>
      </c>
      <c r="L5" s="243" t="s">
        <v>3</v>
      </c>
      <c r="M5" s="162" t="s">
        <v>29</v>
      </c>
    </row>
    <row r="6" spans="1:14" x14ac:dyDescent="0.2">
      <c r="A6" s="665"/>
      <c r="B6" s="156"/>
      <c r="C6" s="156"/>
      <c r="D6" s="244" t="s">
        <v>4</v>
      </c>
      <c r="E6" s="156" t="s">
        <v>30</v>
      </c>
      <c r="F6" s="161"/>
      <c r="G6" s="161"/>
      <c r="H6" s="243" t="s">
        <v>4</v>
      </c>
      <c r="I6" s="156" t="s">
        <v>30</v>
      </c>
      <c r="J6" s="161"/>
      <c r="K6" s="161"/>
      <c r="L6" s="243" t="s">
        <v>4</v>
      </c>
      <c r="M6" s="156" t="s">
        <v>30</v>
      </c>
    </row>
    <row r="7" spans="1:14" ht="15.75" x14ac:dyDescent="0.2">
      <c r="A7" s="14" t="s">
        <v>23</v>
      </c>
      <c r="B7" s="304">
        <v>226457.73651310999</v>
      </c>
      <c r="C7" s="305">
        <v>236865.61363168701</v>
      </c>
      <c r="D7" s="347">
        <f>IF(B7=0, "    ---- ", IF(ABS(ROUND(100/B7*C7-100,1))&lt;999,ROUND(100/B7*C7-100,1),IF(ROUND(100/B7*C7-100,1)&gt;999,999,-999)))</f>
        <v>4.5999999999999996</v>
      </c>
      <c r="E7" s="11">
        <f>IFERROR(100/'Skjema total MA'!C7*C7,0)</f>
        <v>8.919463344740425</v>
      </c>
      <c r="F7" s="304">
        <v>2313460.3832299998</v>
      </c>
      <c r="G7" s="305">
        <v>3704036.0983000002</v>
      </c>
      <c r="H7" s="347">
        <f>IF(F7=0, "    ---- ", IF(ABS(ROUND(100/F7*G7-100,1))&lt;999,ROUND(100/F7*G7-100,1),IF(ROUND(100/F7*G7-100,1)&gt;999,999,-999)))</f>
        <v>60.1</v>
      </c>
      <c r="I7" s="160">
        <f>IFERROR(100/'Skjema total MA'!F7*G7,0)</f>
        <v>73.678577396319056</v>
      </c>
      <c r="J7" s="306">
        <f t="shared" ref="J7:K12" si="0">SUM(B7,F7)</f>
        <v>2539918.1197431097</v>
      </c>
      <c r="K7" s="307">
        <f t="shared" si="0"/>
        <v>3940901.7119316873</v>
      </c>
      <c r="L7" s="370">
        <f>IF(J7=0, "    ---- ", IF(ABS(ROUND(100/J7*K7-100,1))&lt;999,ROUND(100/J7*K7-100,1),IF(ROUND(100/J7*K7-100,1)&gt;999,999,-999)))</f>
        <v>55.2</v>
      </c>
      <c r="M7" s="11">
        <f>IFERROR(100/'Skjema total MA'!I7*K7,0)</f>
        <v>51.294493187091163</v>
      </c>
    </row>
    <row r="8" spans="1:14" ht="15.75" x14ac:dyDescent="0.2">
      <c r="A8" s="21" t="s">
        <v>25</v>
      </c>
      <c r="B8" s="279">
        <v>184771.636495502</v>
      </c>
      <c r="C8" s="280">
        <v>194085.79887916899</v>
      </c>
      <c r="D8" s="166">
        <f t="shared" ref="D8:D10" si="1">IF(B8=0, "    ---- ", IF(ABS(ROUND(100/B8*C8-100,1))&lt;999,ROUND(100/B8*C8-100,1),IF(ROUND(100/B8*C8-100,1)&gt;999,999,-999)))</f>
        <v>5</v>
      </c>
      <c r="E8" s="27">
        <f>IFERROR(100/'Skjema total MA'!C8*C8,0)</f>
        <v>12.152078626141556</v>
      </c>
      <c r="F8" s="283"/>
      <c r="G8" s="284"/>
      <c r="H8" s="166"/>
      <c r="I8" s="175"/>
      <c r="J8" s="232">
        <f t="shared" si="0"/>
        <v>184771.636495502</v>
      </c>
      <c r="K8" s="285">
        <f t="shared" si="0"/>
        <v>194085.79887916899</v>
      </c>
      <c r="L8" s="166">
        <f t="shared" ref="L8:L9" si="2">IF(J8=0, "    ---- ", IF(ABS(ROUND(100/J8*K8-100,1))&lt;999,ROUND(100/J8*K8-100,1),IF(ROUND(100/J8*K8-100,1)&gt;999,999,-999)))</f>
        <v>5</v>
      </c>
      <c r="M8" s="27">
        <f>IFERROR(100/'Skjema total MA'!I8*K8,0)</f>
        <v>12.152078626141556</v>
      </c>
    </row>
    <row r="9" spans="1:14" ht="15.75" x14ac:dyDescent="0.2">
      <c r="A9" s="21" t="s">
        <v>24</v>
      </c>
      <c r="B9" s="279">
        <v>40635.991676961603</v>
      </c>
      <c r="C9" s="280">
        <v>39022.778988213002</v>
      </c>
      <c r="D9" s="166">
        <f t="shared" si="1"/>
        <v>-4</v>
      </c>
      <c r="E9" s="27">
        <f>IFERROR(100/'Skjema total MA'!C9*C9,0)</f>
        <v>6.701949292351471</v>
      </c>
      <c r="F9" s="283"/>
      <c r="G9" s="284"/>
      <c r="H9" s="166"/>
      <c r="I9" s="175"/>
      <c r="J9" s="232">
        <f t="shared" si="0"/>
        <v>40635.991676961603</v>
      </c>
      <c r="K9" s="285">
        <f t="shared" si="0"/>
        <v>39022.778988213002</v>
      </c>
      <c r="L9" s="166">
        <f t="shared" si="2"/>
        <v>-4</v>
      </c>
      <c r="M9" s="27">
        <f>IFERROR(100/'Skjema total MA'!I9*K9,0)</f>
        <v>6.701949292351471</v>
      </c>
    </row>
    <row r="10" spans="1:14" ht="15.75" x14ac:dyDescent="0.2">
      <c r="A10" s="13" t="s">
        <v>371</v>
      </c>
      <c r="B10" s="308">
        <v>861580.82939166203</v>
      </c>
      <c r="C10" s="309">
        <v>809298.10703344899</v>
      </c>
      <c r="D10" s="171">
        <f t="shared" si="1"/>
        <v>-6.1</v>
      </c>
      <c r="E10" s="11">
        <f>IFERROR(100/'Skjema total MA'!C10*C10,0)</f>
        <v>4.1090914897095443</v>
      </c>
      <c r="F10" s="308">
        <v>24474116.566948701</v>
      </c>
      <c r="G10" s="309">
        <v>27203986.6063339</v>
      </c>
      <c r="H10" s="171">
        <f t="shared" ref="H10:H12" si="3">IF(F10=0, "    ---- ", IF(ABS(ROUND(100/F10*G10-100,1))&lt;999,ROUND(100/F10*G10-100,1),IF(ROUND(100/F10*G10-100,1)&gt;999,999,-999)))</f>
        <v>11.2</v>
      </c>
      <c r="I10" s="160">
        <f>IFERROR(100/'Skjema total MA'!F10*G10,0)</f>
        <v>58.624407791303085</v>
      </c>
      <c r="J10" s="306">
        <f t="shared" si="0"/>
        <v>25335697.396340363</v>
      </c>
      <c r="K10" s="307">
        <f t="shared" si="0"/>
        <v>28013284.71336735</v>
      </c>
      <c r="L10" s="371">
        <f t="shared" ref="L10:L12" si="4">IF(J10=0, "    ---- ", IF(ABS(ROUND(100/J10*K10-100,1))&lt;999,ROUND(100/J10*K10-100,1),IF(ROUND(100/J10*K10-100,1)&gt;999,999,-999)))</f>
        <v>10.6</v>
      </c>
      <c r="M10" s="11">
        <f>IFERROR(100/'Skjema total MA'!I10*K10,0)</f>
        <v>42.380695353593744</v>
      </c>
    </row>
    <row r="11" spans="1:14" s="43" customFormat="1" ht="15.75" x14ac:dyDescent="0.2">
      <c r="A11" s="13" t="s">
        <v>372</v>
      </c>
      <c r="B11" s="308"/>
      <c r="C11" s="309"/>
      <c r="D11" s="171"/>
      <c r="E11" s="11"/>
      <c r="F11" s="308">
        <v>58545.613089999999</v>
      </c>
      <c r="G11" s="309">
        <v>99012.209650000004</v>
      </c>
      <c r="H11" s="171">
        <f t="shared" si="3"/>
        <v>69.099999999999994</v>
      </c>
      <c r="I11" s="160">
        <f>IFERROR(100/'Skjema total MA'!F11*G11,0)</f>
        <v>58.971001628767659</v>
      </c>
      <c r="J11" s="306">
        <f t="shared" si="0"/>
        <v>58545.613089999999</v>
      </c>
      <c r="K11" s="307">
        <f t="shared" si="0"/>
        <v>99012.209650000004</v>
      </c>
      <c r="L11" s="371">
        <f t="shared" si="4"/>
        <v>69.099999999999994</v>
      </c>
      <c r="M11" s="11">
        <f>IFERROR(100/'Skjema total MA'!I11*K11,0)</f>
        <v>51.303303968594612</v>
      </c>
      <c r="N11" s="143"/>
    </row>
    <row r="12" spans="1:14" s="43" customFormat="1" ht="15.75" x14ac:dyDescent="0.2">
      <c r="A12" s="41" t="s">
        <v>373</v>
      </c>
      <c r="B12" s="310"/>
      <c r="C12" s="311"/>
      <c r="D12" s="169"/>
      <c r="E12" s="36"/>
      <c r="F12" s="310">
        <v>55869.745450000002</v>
      </c>
      <c r="G12" s="311">
        <v>15286.565060000001</v>
      </c>
      <c r="H12" s="169">
        <f t="shared" si="3"/>
        <v>-72.599999999999994</v>
      </c>
      <c r="I12" s="169">
        <f>IFERROR(100/'Skjema total MA'!F12*G12,0)</f>
        <v>13.48912408431366</v>
      </c>
      <c r="J12" s="312">
        <f t="shared" si="0"/>
        <v>55869.745450000002</v>
      </c>
      <c r="K12" s="313">
        <f t="shared" si="0"/>
        <v>15286.565060000001</v>
      </c>
      <c r="L12" s="372">
        <f t="shared" si="4"/>
        <v>-72.599999999999994</v>
      </c>
      <c r="M12" s="36">
        <f>IFERROR(100/'Skjema total MA'!I12*K12,0)</f>
        <v>12.991034613322698</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95"/>
      <c r="C18" s="695"/>
      <c r="D18" s="695"/>
      <c r="E18" s="297"/>
      <c r="F18" s="695"/>
      <c r="G18" s="695"/>
      <c r="H18" s="695"/>
      <c r="I18" s="297"/>
      <c r="J18" s="695"/>
      <c r="K18" s="695"/>
      <c r="L18" s="695"/>
      <c r="M18" s="297"/>
    </row>
    <row r="19" spans="1:14" x14ac:dyDescent="0.2">
      <c r="A19" s="144"/>
      <c r="B19" s="696" t="s">
        <v>0</v>
      </c>
      <c r="C19" s="697"/>
      <c r="D19" s="697"/>
      <c r="E19" s="299"/>
      <c r="F19" s="696" t="s">
        <v>1</v>
      </c>
      <c r="G19" s="697"/>
      <c r="H19" s="697"/>
      <c r="I19" s="302"/>
      <c r="J19" s="696" t="s">
        <v>2</v>
      </c>
      <c r="K19" s="697"/>
      <c r="L19" s="697"/>
      <c r="M19" s="302"/>
    </row>
    <row r="20" spans="1:14" x14ac:dyDescent="0.2">
      <c r="A20" s="140" t="s">
        <v>5</v>
      </c>
      <c r="B20" s="152" t="s">
        <v>422</v>
      </c>
      <c r="C20" s="152" t="s">
        <v>423</v>
      </c>
      <c r="D20" s="162" t="s">
        <v>3</v>
      </c>
      <c r="E20" s="303" t="s">
        <v>29</v>
      </c>
      <c r="F20" s="152" t="s">
        <v>422</v>
      </c>
      <c r="G20" s="152" t="s">
        <v>423</v>
      </c>
      <c r="H20" s="162" t="s">
        <v>3</v>
      </c>
      <c r="I20" s="162" t="s">
        <v>29</v>
      </c>
      <c r="J20" s="152" t="s">
        <v>422</v>
      </c>
      <c r="K20" s="152" t="s">
        <v>423</v>
      </c>
      <c r="L20" s="162" t="s">
        <v>3</v>
      </c>
      <c r="M20" s="162" t="s">
        <v>29</v>
      </c>
    </row>
    <row r="21" spans="1:14" x14ac:dyDescent="0.2">
      <c r="A21" s="666"/>
      <c r="B21" s="156"/>
      <c r="C21" s="156"/>
      <c r="D21" s="244" t="s">
        <v>4</v>
      </c>
      <c r="E21" s="156" t="s">
        <v>30</v>
      </c>
      <c r="F21" s="161"/>
      <c r="G21" s="161"/>
      <c r="H21" s="243" t="s">
        <v>4</v>
      </c>
      <c r="I21" s="156" t="s">
        <v>30</v>
      </c>
      <c r="J21" s="161"/>
      <c r="K21" s="161"/>
      <c r="L21" s="156" t="s">
        <v>4</v>
      </c>
      <c r="M21" s="156" t="s">
        <v>30</v>
      </c>
    </row>
    <row r="22" spans="1:14" ht="15.75" x14ac:dyDescent="0.2">
      <c r="A22" s="14" t="s">
        <v>23</v>
      </c>
      <c r="B22" s="308">
        <v>70390.214023411696</v>
      </c>
      <c r="C22" s="308">
        <v>76099.621192406601</v>
      </c>
      <c r="D22" s="347">
        <f t="shared" ref="D22:D34" si="5">IF(B22=0, "    ---- ", IF(ABS(ROUND(100/B22*C22-100,1))&lt;999,ROUND(100/B22*C22-100,1),IF(ROUND(100/B22*C22-100,1)&gt;999,999,-999)))</f>
        <v>8.1</v>
      </c>
      <c r="E22" s="11">
        <f>IFERROR(100/'Skjema total MA'!C22*C22,0)</f>
        <v>7.3591112951456115</v>
      </c>
      <c r="F22" s="316">
        <v>138588.60373999999</v>
      </c>
      <c r="G22" s="316">
        <v>142128.97700000001</v>
      </c>
      <c r="H22" s="347">
        <f t="shared" ref="H22:H35" si="6">IF(F22=0, "    ---- ", IF(ABS(ROUND(100/F22*G22-100,1))&lt;999,ROUND(100/F22*G22-100,1),IF(ROUND(100/F22*G22-100,1)&gt;999,999,-999)))</f>
        <v>2.6</v>
      </c>
      <c r="I22" s="11">
        <f>IFERROR(100/'Skjema total MA'!F22*G22,0)</f>
        <v>25.675674494416537</v>
      </c>
      <c r="J22" s="314">
        <f t="shared" ref="J22:K35" si="7">SUM(B22,F22)</f>
        <v>208978.81776341167</v>
      </c>
      <c r="K22" s="314">
        <f t="shared" si="7"/>
        <v>218228.59819240661</v>
      </c>
      <c r="L22" s="370">
        <f t="shared" ref="L22:L35" si="8">IF(J22=0, "    ---- ", IF(ABS(ROUND(100/J22*K22-100,1))&lt;999,ROUND(100/J22*K22-100,1),IF(ROUND(100/J22*K22-100,1)&gt;999,999,-999)))</f>
        <v>4.4000000000000004</v>
      </c>
      <c r="M22" s="24">
        <f>IFERROR(100/'Skjema total MA'!I22*K22,0)</f>
        <v>13.745452997392075</v>
      </c>
    </row>
    <row r="23" spans="1:14" ht="15.75" x14ac:dyDescent="0.2">
      <c r="A23" s="551" t="s">
        <v>374</v>
      </c>
      <c r="B23" s="279">
        <v>69879.362023411697</v>
      </c>
      <c r="C23" s="279">
        <v>75765.236192406606</v>
      </c>
      <c r="D23" s="166">
        <f t="shared" si="5"/>
        <v>8.4</v>
      </c>
      <c r="E23" s="11">
        <f>IFERROR(100/'Skjema total MA'!C23*C23,0)</f>
        <v>9.9626812483008624</v>
      </c>
      <c r="F23" s="288">
        <v>2377.3820000000001</v>
      </c>
      <c r="G23" s="288">
        <v>2112.4409999999998</v>
      </c>
      <c r="H23" s="166">
        <f t="shared" si="6"/>
        <v>-11.1</v>
      </c>
      <c r="I23" s="363">
        <f>IFERROR(100/'Skjema total MA'!F23*G23,0)</f>
        <v>4.9291006362625804</v>
      </c>
      <c r="J23" s="288">
        <f t="shared" ref="J23:J26" si="9">SUM(B23,F23)</f>
        <v>72256.744023411695</v>
      </c>
      <c r="K23" s="288">
        <f t="shared" ref="K23:K26" si="10">SUM(C23,G23)</f>
        <v>77877.677192406612</v>
      </c>
      <c r="L23" s="166">
        <f t="shared" si="8"/>
        <v>7.8</v>
      </c>
      <c r="M23" s="23">
        <f>IFERROR(100/'Skjema total MA'!I23*K23,0)</f>
        <v>9.6941524991709986</v>
      </c>
    </row>
    <row r="24" spans="1:14" ht="15.75" x14ac:dyDescent="0.2">
      <c r="A24" s="551" t="s">
        <v>375</v>
      </c>
      <c r="B24" s="279">
        <v>510.85199999999998</v>
      </c>
      <c r="C24" s="279">
        <v>334.38499999999999</v>
      </c>
      <c r="D24" s="166">
        <f t="shared" si="5"/>
        <v>-34.5</v>
      </c>
      <c r="E24" s="11">
        <f>IFERROR(100/'Skjema total MA'!C24*C24,0)</f>
        <v>1.7113144861056877</v>
      </c>
      <c r="F24" s="288"/>
      <c r="G24" s="288"/>
      <c r="H24" s="166"/>
      <c r="I24" s="363"/>
      <c r="J24" s="288">
        <f t="shared" si="9"/>
        <v>510.85199999999998</v>
      </c>
      <c r="K24" s="288">
        <f t="shared" si="10"/>
        <v>334.38499999999999</v>
      </c>
      <c r="L24" s="166">
        <f t="shared" si="8"/>
        <v>-34.5</v>
      </c>
      <c r="M24" s="23">
        <f>IFERROR(100/'Skjema total MA'!I24*K24,0)</f>
        <v>1.628994970451777</v>
      </c>
    </row>
    <row r="25" spans="1:14" ht="15.75" x14ac:dyDescent="0.2">
      <c r="A25" s="551" t="s">
        <v>376</v>
      </c>
      <c r="B25" s="279"/>
      <c r="C25" s="279"/>
      <c r="D25" s="166"/>
      <c r="E25" s="11"/>
      <c r="F25" s="288">
        <v>39039.795180000001</v>
      </c>
      <c r="G25" s="288">
        <v>443.62299999999999</v>
      </c>
      <c r="H25" s="166">
        <f t="shared" si="6"/>
        <v>-98.9</v>
      </c>
      <c r="I25" s="363">
        <f>IFERROR(100/'Skjema total MA'!F25*G25,0)</f>
        <v>2.1994087688903527</v>
      </c>
      <c r="J25" s="288">
        <f t="shared" si="9"/>
        <v>39039.795180000001</v>
      </c>
      <c r="K25" s="288">
        <f t="shared" si="10"/>
        <v>443.62299999999999</v>
      </c>
      <c r="L25" s="166">
        <f t="shared" si="8"/>
        <v>-98.9</v>
      </c>
      <c r="M25" s="23">
        <f>IFERROR(100/'Skjema total MA'!I25*K25,0)</f>
        <v>1.1349830855455318</v>
      </c>
    </row>
    <row r="26" spans="1:14" ht="15.75" x14ac:dyDescent="0.2">
      <c r="A26" s="551" t="s">
        <v>377</v>
      </c>
      <c r="B26" s="279"/>
      <c r="C26" s="279"/>
      <c r="D26" s="166"/>
      <c r="E26" s="11"/>
      <c r="F26" s="288">
        <v>97171.426560000007</v>
      </c>
      <c r="G26" s="288">
        <v>139572.913</v>
      </c>
      <c r="H26" s="166">
        <f t="shared" si="6"/>
        <v>43.6</v>
      </c>
      <c r="I26" s="363">
        <f>IFERROR(100/'Skjema total MA'!F26*G26,0)</f>
        <v>28.485060049061737</v>
      </c>
      <c r="J26" s="288">
        <f t="shared" si="9"/>
        <v>97171.426560000007</v>
      </c>
      <c r="K26" s="288">
        <f t="shared" si="10"/>
        <v>139572.913</v>
      </c>
      <c r="L26" s="166">
        <f t="shared" si="8"/>
        <v>43.6</v>
      </c>
      <c r="M26" s="23">
        <f>IFERROR(100/'Skjema total MA'!I26*K26,0)</f>
        <v>28.485060049061737</v>
      </c>
    </row>
    <row r="27" spans="1:14" x14ac:dyDescent="0.2">
      <c r="A27" s="551" t="s">
        <v>11</v>
      </c>
      <c r="B27" s="279"/>
      <c r="C27" s="279"/>
      <c r="D27" s="166"/>
      <c r="E27" s="11"/>
      <c r="F27" s="288"/>
      <c r="G27" s="288"/>
      <c r="H27" s="166"/>
      <c r="I27" s="363"/>
      <c r="J27" s="288"/>
      <c r="K27" s="288"/>
      <c r="L27" s="166"/>
      <c r="M27" s="23"/>
    </row>
    <row r="28" spans="1:14" ht="15.75" x14ac:dyDescent="0.2">
      <c r="A28" s="49" t="s">
        <v>282</v>
      </c>
      <c r="B28" s="44">
        <v>72582.366906113602</v>
      </c>
      <c r="C28" s="285">
        <v>78244.337285332993</v>
      </c>
      <c r="D28" s="166">
        <f t="shared" si="5"/>
        <v>7.8</v>
      </c>
      <c r="E28" s="11">
        <f>IFERROR(100/'Skjema total MA'!C28*C28,0)</f>
        <v>7.4786931461948747</v>
      </c>
      <c r="F28" s="232"/>
      <c r="G28" s="285"/>
      <c r="H28" s="166"/>
      <c r="I28" s="27"/>
      <c r="J28" s="44">
        <f t="shared" si="7"/>
        <v>72582.366906113602</v>
      </c>
      <c r="K28" s="44">
        <f t="shared" si="7"/>
        <v>78244.337285332993</v>
      </c>
      <c r="L28" s="252">
        <f t="shared" si="8"/>
        <v>7.8</v>
      </c>
      <c r="M28" s="23">
        <f>IFERROR(100/'Skjema total MA'!I28*K28,0)</f>
        <v>7.4786931461948747</v>
      </c>
    </row>
    <row r="29" spans="1:14" s="3" customFormat="1" ht="15.75" x14ac:dyDescent="0.2">
      <c r="A29" s="13" t="s">
        <v>371</v>
      </c>
      <c r="B29" s="234">
        <v>3950853.432</v>
      </c>
      <c r="C29" s="234">
        <v>3857421.5410000002</v>
      </c>
      <c r="D29" s="171">
        <f t="shared" si="5"/>
        <v>-2.4</v>
      </c>
      <c r="E29" s="11">
        <f>IFERROR(100/'Skjema total MA'!C29*C29,0)</f>
        <v>8.1282928016276745</v>
      </c>
      <c r="F29" s="306">
        <v>3504522.71</v>
      </c>
      <c r="G29" s="306">
        <v>3439453.56</v>
      </c>
      <c r="H29" s="171">
        <f t="shared" si="6"/>
        <v>-1.9</v>
      </c>
      <c r="I29" s="11">
        <f>IFERROR(100/'Skjema total MA'!F29*G29,0)</f>
        <v>16.833753102616207</v>
      </c>
      <c r="J29" s="234">
        <f t="shared" si="7"/>
        <v>7455376.142</v>
      </c>
      <c r="K29" s="234">
        <f t="shared" si="7"/>
        <v>7296875.1009999998</v>
      </c>
      <c r="L29" s="371">
        <f t="shared" si="8"/>
        <v>-2.1</v>
      </c>
      <c r="M29" s="24">
        <f>IFERROR(100/'Skjema total MA'!I29*K29,0)</f>
        <v>10.748304935470001</v>
      </c>
      <c r="N29" s="148"/>
    </row>
    <row r="30" spans="1:14" s="3" customFormat="1" ht="15.75" x14ac:dyDescent="0.2">
      <c r="A30" s="551" t="s">
        <v>374</v>
      </c>
      <c r="B30" s="279">
        <v>855142.85932293697</v>
      </c>
      <c r="C30" s="279">
        <v>743302.90368802904</v>
      </c>
      <c r="D30" s="166">
        <f t="shared" si="5"/>
        <v>-13.1</v>
      </c>
      <c r="E30" s="11">
        <f>IFERROR(100/'Skjema total MA'!C30*C30,0)</f>
        <v>7.1052310251206086</v>
      </c>
      <c r="F30" s="288">
        <v>479372.95</v>
      </c>
      <c r="G30" s="288">
        <v>469404.717</v>
      </c>
      <c r="H30" s="166">
        <f t="shared" si="6"/>
        <v>-2.1</v>
      </c>
      <c r="I30" s="363">
        <f>IFERROR(100/'Skjema total MA'!F30*G30,0)</f>
        <v>11.029932859212222</v>
      </c>
      <c r="J30" s="288">
        <f t="shared" ref="J30:J33" si="11">SUM(B30,F30)</f>
        <v>1334515.8093229369</v>
      </c>
      <c r="K30" s="288">
        <f t="shared" ref="K30:K33" si="12">SUM(C30,G30)</f>
        <v>1212707.6206880291</v>
      </c>
      <c r="L30" s="166">
        <f t="shared" si="8"/>
        <v>-9.1</v>
      </c>
      <c r="M30" s="23">
        <f>IFERROR(100/'Skjema total MA'!I30*K30,0)</f>
        <v>8.2401360668773904</v>
      </c>
      <c r="N30" s="148"/>
    </row>
    <row r="31" spans="1:14" s="3" customFormat="1" ht="15.75" x14ac:dyDescent="0.2">
      <c r="A31" s="551" t="s">
        <v>375</v>
      </c>
      <c r="B31" s="279">
        <v>2804110.3346770601</v>
      </c>
      <c r="C31" s="279">
        <v>2806272.2723119701</v>
      </c>
      <c r="D31" s="166">
        <f t="shared" si="5"/>
        <v>0.1</v>
      </c>
      <c r="E31" s="11">
        <f>IFERROR(100/'Skjema total MA'!C31*C31,0)</f>
        <v>8.3418066042522447</v>
      </c>
      <c r="F31" s="288">
        <v>847442.53</v>
      </c>
      <c r="G31" s="288">
        <v>405422.44300000003</v>
      </c>
      <c r="H31" s="166">
        <f t="shared" si="6"/>
        <v>-52.2</v>
      </c>
      <c r="I31" s="363">
        <f>IFERROR(100/'Skjema total MA'!F31*G31,0)</f>
        <v>4.3399789271551805</v>
      </c>
      <c r="J31" s="288">
        <f t="shared" si="11"/>
        <v>3651552.8646770604</v>
      </c>
      <c r="K31" s="288">
        <f t="shared" si="12"/>
        <v>3211694.7153119701</v>
      </c>
      <c r="L31" s="166">
        <f t="shared" si="8"/>
        <v>-12</v>
      </c>
      <c r="M31" s="23">
        <f>IFERROR(100/'Skjema total MA'!I31*K31,0)</f>
        <v>7.4720745289144075</v>
      </c>
      <c r="N31" s="148"/>
    </row>
    <row r="32" spans="1:14" ht="15.75" x14ac:dyDescent="0.2">
      <c r="A32" s="551" t="s">
        <v>376</v>
      </c>
      <c r="B32" s="279">
        <v>291600.23800000001</v>
      </c>
      <c r="C32" s="279">
        <v>307846.36499999999</v>
      </c>
      <c r="D32" s="166">
        <f t="shared" si="5"/>
        <v>5.6</v>
      </c>
      <c r="E32" s="11">
        <f>IFERROR(100/'Skjema total MA'!C32*C32,0)</f>
        <v>21.221280025785969</v>
      </c>
      <c r="F32" s="288">
        <v>1895223.2</v>
      </c>
      <c r="G32" s="288">
        <v>1924493.34</v>
      </c>
      <c r="H32" s="166">
        <f t="shared" si="6"/>
        <v>1.5</v>
      </c>
      <c r="I32" s="363">
        <f>IFERROR(100/'Skjema total MA'!F32*G32,0)</f>
        <v>44.417671431326958</v>
      </c>
      <c r="J32" s="288">
        <f t="shared" si="11"/>
        <v>2186823.4380000001</v>
      </c>
      <c r="K32" s="288">
        <f t="shared" si="12"/>
        <v>2232339.7050000001</v>
      </c>
      <c r="L32" s="166">
        <f t="shared" si="8"/>
        <v>2.1</v>
      </c>
      <c r="M32" s="23">
        <f>IFERROR(100/'Skjema total MA'!I32*K32,0)</f>
        <v>38.599293191480548</v>
      </c>
    </row>
    <row r="33" spans="1:14" ht="15.75" x14ac:dyDescent="0.2">
      <c r="A33" s="551" t="s">
        <v>377</v>
      </c>
      <c r="B33" s="279"/>
      <c r="C33" s="279"/>
      <c r="D33" s="166"/>
      <c r="E33" s="11"/>
      <c r="F33" s="288">
        <v>282484.03000000003</v>
      </c>
      <c r="G33" s="288">
        <v>640133.06000000006</v>
      </c>
      <c r="H33" s="171">
        <f t="shared" si="6"/>
        <v>126.6</v>
      </c>
      <c r="I33" s="363">
        <f>IFERROR(100/'Skjema total MA'!F33*G33,0)</f>
        <v>25.586321703669537</v>
      </c>
      <c r="J33" s="288">
        <f t="shared" si="11"/>
        <v>282484.03000000003</v>
      </c>
      <c r="K33" s="288">
        <f t="shared" si="12"/>
        <v>640133.06000000006</v>
      </c>
      <c r="L33" s="166">
        <f t="shared" si="8"/>
        <v>126.6</v>
      </c>
      <c r="M33" s="23">
        <f>IFERROR(100/'Skjema total MA'!I34*K33,0)</f>
        <v>1234.7133997267392</v>
      </c>
    </row>
    <row r="34" spans="1:14" ht="15.75" x14ac:dyDescent="0.2">
      <c r="A34" s="13" t="s">
        <v>372</v>
      </c>
      <c r="B34" s="234">
        <v>1017.84928</v>
      </c>
      <c r="C34" s="307">
        <v>0</v>
      </c>
      <c r="D34" s="171">
        <f t="shared" si="5"/>
        <v>-100</v>
      </c>
      <c r="E34" s="11">
        <f>IFERROR(100/'Skjema total MA'!C34*C34,0)</f>
        <v>0</v>
      </c>
      <c r="F34" s="306">
        <v>3233.8261400000001</v>
      </c>
      <c r="G34" s="307">
        <v>2831.7718599999998</v>
      </c>
      <c r="H34" s="171">
        <f t="shared" si="6"/>
        <v>-12.4</v>
      </c>
      <c r="I34" s="11">
        <f>IFERROR(100/'Skjema total MA'!F34*G34,0)</f>
        <v>7.2737971908390584</v>
      </c>
      <c r="J34" s="234">
        <f t="shared" si="7"/>
        <v>4251.6754200000005</v>
      </c>
      <c r="K34" s="234">
        <f t="shared" si="7"/>
        <v>2831.7718599999998</v>
      </c>
      <c r="L34" s="371">
        <f t="shared" si="8"/>
        <v>-33.4</v>
      </c>
      <c r="M34" s="24">
        <f>IFERROR(100/'Skjema total MA'!I34*K34,0)</f>
        <v>5.4620310666521599</v>
      </c>
    </row>
    <row r="35" spans="1:14" ht="15.75" x14ac:dyDescent="0.2">
      <c r="A35" s="13" t="s">
        <v>373</v>
      </c>
      <c r="B35" s="234"/>
      <c r="C35" s="307"/>
      <c r="D35" s="171"/>
      <c r="E35" s="11"/>
      <c r="F35" s="306">
        <v>10895.70687</v>
      </c>
      <c r="G35" s="307">
        <v>11643.185240000001</v>
      </c>
      <c r="H35" s="171">
        <f t="shared" si="6"/>
        <v>6.9</v>
      </c>
      <c r="I35" s="11">
        <f>IFERROR(100/'Skjema total MA'!F35*G35,0)</f>
        <v>18.216429441633728</v>
      </c>
      <c r="J35" s="234">
        <f t="shared" si="7"/>
        <v>10895.70687</v>
      </c>
      <c r="K35" s="234">
        <f t="shared" si="7"/>
        <v>11643.185240000001</v>
      </c>
      <c r="L35" s="371">
        <f t="shared" si="8"/>
        <v>6.9</v>
      </c>
      <c r="M35" s="24">
        <f>IFERROR(100/'Skjema total MA'!I35*K35,0)</f>
        <v>22.39912672167392</v>
      </c>
    </row>
    <row r="36" spans="1:14" ht="15.75" x14ac:dyDescent="0.2">
      <c r="A36" s="12" t="s">
        <v>290</v>
      </c>
      <c r="B36" s="234"/>
      <c r="C36" s="307"/>
      <c r="D36" s="171"/>
      <c r="E36" s="11"/>
      <c r="F36" s="317"/>
      <c r="G36" s="318"/>
      <c r="H36" s="171"/>
      <c r="I36" s="377"/>
      <c r="J36" s="234"/>
      <c r="K36" s="234"/>
      <c r="L36" s="371"/>
      <c r="M36" s="24"/>
    </row>
    <row r="37" spans="1:14" ht="15.75" x14ac:dyDescent="0.2">
      <c r="A37" s="12" t="s">
        <v>379</v>
      </c>
      <c r="B37" s="234"/>
      <c r="C37" s="307"/>
      <c r="D37" s="171"/>
      <c r="E37" s="11"/>
      <c r="F37" s="317"/>
      <c r="G37" s="319"/>
      <c r="H37" s="171"/>
      <c r="I37" s="377"/>
      <c r="J37" s="234"/>
      <c r="K37" s="234"/>
      <c r="L37" s="371"/>
      <c r="M37" s="24"/>
    </row>
    <row r="38" spans="1:14" ht="15.75" x14ac:dyDescent="0.2">
      <c r="A38" s="12" t="s">
        <v>380</v>
      </c>
      <c r="B38" s="234"/>
      <c r="C38" s="307"/>
      <c r="D38" s="171"/>
      <c r="E38" s="24"/>
      <c r="F38" s="317"/>
      <c r="G38" s="318"/>
      <c r="H38" s="171"/>
      <c r="I38" s="377"/>
      <c r="J38" s="234"/>
      <c r="K38" s="234"/>
      <c r="L38" s="371"/>
      <c r="M38" s="24"/>
    </row>
    <row r="39" spans="1:14" ht="15.75" x14ac:dyDescent="0.2">
      <c r="A39" s="18" t="s">
        <v>381</v>
      </c>
      <c r="B39" s="274"/>
      <c r="C39" s="313"/>
      <c r="D39" s="169"/>
      <c r="E39" s="36"/>
      <c r="F39" s="320"/>
      <c r="G39" s="321"/>
      <c r="H39" s="169"/>
      <c r="I39" s="36"/>
      <c r="J39" s="234"/>
      <c r="K39" s="234"/>
      <c r="L39" s="372"/>
      <c r="M39" s="36"/>
    </row>
    <row r="40" spans="1:14" ht="15.75" x14ac:dyDescent="0.25">
      <c r="A40" s="47"/>
      <c r="B40" s="251"/>
      <c r="C40" s="251"/>
      <c r="D40" s="699"/>
      <c r="E40" s="699"/>
      <c r="F40" s="699"/>
      <c r="G40" s="699"/>
      <c r="H40" s="699"/>
      <c r="I40" s="699"/>
      <c r="J40" s="699"/>
      <c r="K40" s="699"/>
      <c r="L40" s="699"/>
      <c r="M40" s="300"/>
    </row>
    <row r="41" spans="1:14" x14ac:dyDescent="0.2">
      <c r="A41" s="155"/>
    </row>
    <row r="42" spans="1:14" ht="15.75" x14ac:dyDescent="0.25">
      <c r="A42" s="147" t="s">
        <v>279</v>
      </c>
      <c r="B42" s="700"/>
      <c r="C42" s="700"/>
      <c r="D42" s="700"/>
      <c r="E42" s="297"/>
      <c r="F42" s="701"/>
      <c r="G42" s="701"/>
      <c r="H42" s="701"/>
      <c r="I42" s="300"/>
      <c r="J42" s="701"/>
      <c r="K42" s="701"/>
      <c r="L42" s="701"/>
      <c r="M42" s="300"/>
    </row>
    <row r="43" spans="1:14" ht="15.75" x14ac:dyDescent="0.25">
      <c r="A43" s="163"/>
      <c r="B43" s="301"/>
      <c r="C43" s="301"/>
      <c r="D43" s="301"/>
      <c r="E43" s="301"/>
      <c r="F43" s="300"/>
      <c r="G43" s="300"/>
      <c r="H43" s="300"/>
      <c r="I43" s="300"/>
      <c r="J43" s="300"/>
      <c r="K43" s="300"/>
      <c r="L43" s="300"/>
      <c r="M43" s="300"/>
    </row>
    <row r="44" spans="1:14" ht="15.75" x14ac:dyDescent="0.25">
      <c r="A44" s="245"/>
      <c r="B44" s="696" t="s">
        <v>0</v>
      </c>
      <c r="C44" s="697"/>
      <c r="D44" s="697"/>
      <c r="E44" s="241"/>
      <c r="F44" s="300"/>
      <c r="G44" s="300"/>
      <c r="H44" s="300"/>
      <c r="I44" s="300"/>
      <c r="J44" s="300"/>
      <c r="K44" s="300"/>
      <c r="L44" s="300"/>
      <c r="M44" s="300"/>
    </row>
    <row r="45" spans="1:14" s="3" customFormat="1" x14ac:dyDescent="0.2">
      <c r="A45" s="140"/>
      <c r="B45" s="152" t="s">
        <v>422</v>
      </c>
      <c r="C45" s="152" t="s">
        <v>423</v>
      </c>
      <c r="D45" s="162" t="s">
        <v>3</v>
      </c>
      <c r="E45" s="162" t="s">
        <v>29</v>
      </c>
      <c r="F45" s="174"/>
      <c r="G45" s="174"/>
      <c r="H45" s="173"/>
      <c r="I45" s="173"/>
      <c r="J45" s="174"/>
      <c r="K45" s="174"/>
      <c r="L45" s="173"/>
      <c r="M45" s="173"/>
      <c r="N45" s="148"/>
    </row>
    <row r="46" spans="1:14" s="3" customFormat="1" x14ac:dyDescent="0.2">
      <c r="A46" s="666"/>
      <c r="B46" s="242"/>
      <c r="C46" s="242"/>
      <c r="D46" s="243" t="s">
        <v>4</v>
      </c>
      <c r="E46" s="156" t="s">
        <v>30</v>
      </c>
      <c r="F46" s="173"/>
      <c r="G46" s="173"/>
      <c r="H46" s="173"/>
      <c r="I46" s="173"/>
      <c r="J46" s="173"/>
      <c r="K46" s="173"/>
      <c r="L46" s="173"/>
      <c r="M46" s="173"/>
      <c r="N46" s="148"/>
    </row>
    <row r="47" spans="1:14" s="3" customFormat="1" ht="15.75" x14ac:dyDescent="0.2">
      <c r="A47" s="14" t="s">
        <v>23</v>
      </c>
      <c r="B47" s="308"/>
      <c r="C47" s="309"/>
      <c r="D47" s="370"/>
      <c r="E47" s="11"/>
      <c r="F47" s="145"/>
      <c r="G47" s="33"/>
      <c r="H47" s="159"/>
      <c r="I47" s="159"/>
      <c r="J47" s="37"/>
      <c r="K47" s="37"/>
      <c r="L47" s="159"/>
      <c r="M47" s="159"/>
      <c r="N47" s="148"/>
    </row>
    <row r="48" spans="1:14" s="3" customFormat="1" ht="15.75" x14ac:dyDescent="0.2">
      <c r="A48" s="38" t="s">
        <v>382</v>
      </c>
      <c r="B48" s="279"/>
      <c r="C48" s="280"/>
      <c r="D48" s="252"/>
      <c r="E48" s="27"/>
      <c r="F48" s="145"/>
      <c r="G48" s="33"/>
      <c r="H48" s="145"/>
      <c r="I48" s="145"/>
      <c r="J48" s="33"/>
      <c r="K48" s="33"/>
      <c r="L48" s="159"/>
      <c r="M48" s="159"/>
      <c r="N48" s="148"/>
    </row>
    <row r="49" spans="1:14" s="3" customFormat="1" ht="15.75" x14ac:dyDescent="0.2">
      <c r="A49" s="38" t="s">
        <v>383</v>
      </c>
      <c r="B49" s="44"/>
      <c r="C49" s="285"/>
      <c r="D49" s="252"/>
      <c r="E49" s="27"/>
      <c r="F49" s="145"/>
      <c r="G49" s="33"/>
      <c r="H49" s="145"/>
      <c r="I49" s="145"/>
      <c r="J49" s="37"/>
      <c r="K49" s="37"/>
      <c r="L49" s="159"/>
      <c r="M49" s="159"/>
      <c r="N49" s="148"/>
    </row>
    <row r="50" spans="1:14" s="3" customFormat="1" x14ac:dyDescent="0.2">
      <c r="A50" s="294" t="s">
        <v>6</v>
      </c>
      <c r="B50" s="288"/>
      <c r="C50" s="289"/>
      <c r="D50" s="252"/>
      <c r="E50" s="23"/>
      <c r="F50" s="145"/>
      <c r="G50" s="33"/>
      <c r="H50" s="145"/>
      <c r="I50" s="145"/>
      <c r="J50" s="33"/>
      <c r="K50" s="33"/>
      <c r="L50" s="159"/>
      <c r="M50" s="159"/>
      <c r="N50" s="148"/>
    </row>
    <row r="51" spans="1:14" s="3" customFormat="1" x14ac:dyDescent="0.2">
      <c r="A51" s="294" t="s">
        <v>7</v>
      </c>
      <c r="B51" s="288"/>
      <c r="C51" s="289"/>
      <c r="D51" s="252"/>
      <c r="E51" s="23"/>
      <c r="F51" s="145"/>
      <c r="G51" s="33"/>
      <c r="H51" s="145"/>
      <c r="I51" s="145"/>
      <c r="J51" s="33"/>
      <c r="K51" s="33"/>
      <c r="L51" s="159"/>
      <c r="M51" s="159"/>
      <c r="N51" s="148"/>
    </row>
    <row r="52" spans="1:14" s="3" customFormat="1" x14ac:dyDescent="0.2">
      <c r="A52" s="294" t="s">
        <v>8</v>
      </c>
      <c r="B52" s="288"/>
      <c r="C52" s="289"/>
      <c r="D52" s="252"/>
      <c r="E52" s="23"/>
      <c r="F52" s="145"/>
      <c r="G52" s="33"/>
      <c r="H52" s="145"/>
      <c r="I52" s="145"/>
      <c r="J52" s="33"/>
      <c r="K52" s="33"/>
      <c r="L52" s="159"/>
      <c r="M52" s="159"/>
      <c r="N52" s="148"/>
    </row>
    <row r="53" spans="1:14" s="3" customFormat="1" ht="15.75" x14ac:dyDescent="0.2">
      <c r="A53" s="39" t="s">
        <v>384</v>
      </c>
      <c r="B53" s="308"/>
      <c r="C53" s="309"/>
      <c r="D53" s="371"/>
      <c r="E53" s="11"/>
      <c r="F53" s="145"/>
      <c r="G53" s="33"/>
      <c r="H53" s="145"/>
      <c r="I53" s="145"/>
      <c r="J53" s="33"/>
      <c r="K53" s="33"/>
      <c r="L53" s="159"/>
      <c r="M53" s="159"/>
      <c r="N53" s="148"/>
    </row>
    <row r="54" spans="1:14" s="3" customFormat="1" ht="15.75" x14ac:dyDescent="0.2">
      <c r="A54" s="38" t="s">
        <v>382</v>
      </c>
      <c r="B54" s="279"/>
      <c r="C54" s="280"/>
      <c r="D54" s="252"/>
      <c r="E54" s="27"/>
      <c r="F54" s="145"/>
      <c r="G54" s="33"/>
      <c r="H54" s="145"/>
      <c r="I54" s="145"/>
      <c r="J54" s="33"/>
      <c r="K54" s="33"/>
      <c r="L54" s="159"/>
      <c r="M54" s="159"/>
      <c r="N54" s="148"/>
    </row>
    <row r="55" spans="1:14" s="3" customFormat="1" ht="15.75" x14ac:dyDescent="0.2">
      <c r="A55" s="38" t="s">
        <v>383</v>
      </c>
      <c r="B55" s="279"/>
      <c r="C55" s="280"/>
      <c r="D55" s="252"/>
      <c r="E55" s="27"/>
      <c r="F55" s="145"/>
      <c r="G55" s="33"/>
      <c r="H55" s="145"/>
      <c r="I55" s="145"/>
      <c r="J55" s="33"/>
      <c r="K55" s="33"/>
      <c r="L55" s="159"/>
      <c r="M55" s="159"/>
      <c r="N55" s="148"/>
    </row>
    <row r="56" spans="1:14" s="3" customFormat="1" ht="15.75" x14ac:dyDescent="0.2">
      <c r="A56" s="39" t="s">
        <v>385</v>
      </c>
      <c r="B56" s="308"/>
      <c r="C56" s="309"/>
      <c r="D56" s="371"/>
      <c r="E56" s="11"/>
      <c r="F56" s="145"/>
      <c r="G56" s="33"/>
      <c r="H56" s="145"/>
      <c r="I56" s="145"/>
      <c r="J56" s="33"/>
      <c r="K56" s="33"/>
      <c r="L56" s="159"/>
      <c r="M56" s="159"/>
      <c r="N56" s="148"/>
    </row>
    <row r="57" spans="1:14" s="3" customFormat="1" ht="15.75" x14ac:dyDescent="0.2">
      <c r="A57" s="38" t="s">
        <v>382</v>
      </c>
      <c r="B57" s="279"/>
      <c r="C57" s="280"/>
      <c r="D57" s="252"/>
      <c r="E57" s="27"/>
      <c r="F57" s="145"/>
      <c r="G57" s="33"/>
      <c r="H57" s="145"/>
      <c r="I57" s="145"/>
      <c r="J57" s="33"/>
      <c r="K57" s="33"/>
      <c r="L57" s="159"/>
      <c r="M57" s="159"/>
      <c r="N57" s="148"/>
    </row>
    <row r="58" spans="1:14" s="3" customFormat="1" ht="15.75" x14ac:dyDescent="0.2">
      <c r="A58" s="46" t="s">
        <v>383</v>
      </c>
      <c r="B58" s="281"/>
      <c r="C58" s="282"/>
      <c r="D58" s="253"/>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95"/>
      <c r="C62" s="695"/>
      <c r="D62" s="695"/>
      <c r="E62" s="297"/>
      <c r="F62" s="695"/>
      <c r="G62" s="695"/>
      <c r="H62" s="695"/>
      <c r="I62" s="297"/>
      <c r="J62" s="695"/>
      <c r="K62" s="695"/>
      <c r="L62" s="695"/>
      <c r="M62" s="297"/>
    </row>
    <row r="63" spans="1:14" x14ac:dyDescent="0.2">
      <c r="A63" s="144"/>
      <c r="B63" s="696" t="s">
        <v>0</v>
      </c>
      <c r="C63" s="697"/>
      <c r="D63" s="698"/>
      <c r="E63" s="298"/>
      <c r="F63" s="697" t="s">
        <v>1</v>
      </c>
      <c r="G63" s="697"/>
      <c r="H63" s="697"/>
      <c r="I63" s="302"/>
      <c r="J63" s="696" t="s">
        <v>2</v>
      </c>
      <c r="K63" s="697"/>
      <c r="L63" s="697"/>
      <c r="M63" s="302"/>
    </row>
    <row r="64" spans="1:14" x14ac:dyDescent="0.2">
      <c r="A64" s="140"/>
      <c r="B64" s="152" t="s">
        <v>422</v>
      </c>
      <c r="C64" s="152" t="s">
        <v>423</v>
      </c>
      <c r="D64" s="243" t="s">
        <v>3</v>
      </c>
      <c r="E64" s="303" t="s">
        <v>29</v>
      </c>
      <c r="F64" s="152" t="s">
        <v>422</v>
      </c>
      <c r="G64" s="152" t="s">
        <v>423</v>
      </c>
      <c r="H64" s="243" t="s">
        <v>3</v>
      </c>
      <c r="I64" s="303" t="s">
        <v>29</v>
      </c>
      <c r="J64" s="152" t="s">
        <v>422</v>
      </c>
      <c r="K64" s="152" t="s">
        <v>423</v>
      </c>
      <c r="L64" s="243" t="s">
        <v>3</v>
      </c>
      <c r="M64" s="162" t="s">
        <v>29</v>
      </c>
    </row>
    <row r="65" spans="1:14" x14ac:dyDescent="0.2">
      <c r="A65" s="666"/>
      <c r="B65" s="156"/>
      <c r="C65" s="156"/>
      <c r="D65" s="244" t="s">
        <v>4</v>
      </c>
      <c r="E65" s="156" t="s">
        <v>30</v>
      </c>
      <c r="F65" s="161"/>
      <c r="G65" s="161"/>
      <c r="H65" s="243" t="s">
        <v>4</v>
      </c>
      <c r="I65" s="156" t="s">
        <v>30</v>
      </c>
      <c r="J65" s="161"/>
      <c r="K65" s="205"/>
      <c r="L65" s="156" t="s">
        <v>4</v>
      </c>
      <c r="M65" s="156" t="s">
        <v>30</v>
      </c>
    </row>
    <row r="66" spans="1:14" ht="15.75" x14ac:dyDescent="0.2">
      <c r="A66" s="14" t="s">
        <v>23</v>
      </c>
      <c r="B66" s="350">
        <v>614274</v>
      </c>
      <c r="C66" s="350">
        <v>611810</v>
      </c>
      <c r="D66" s="347">
        <f t="shared" ref="D66:D111" si="13">IF(B66=0, "    ---- ", IF(ABS(ROUND(100/B66*C66-100,1))&lt;999,ROUND(100/B66*C66-100,1),IF(ROUND(100/B66*C66-100,1)&gt;999,999,-999)))</f>
        <v>-0.4</v>
      </c>
      <c r="E66" s="11">
        <f>IFERROR(100/'Skjema total MA'!C66*C66,0)</f>
        <v>11.390151457120542</v>
      </c>
      <c r="F66" s="349">
        <v>1834444.925</v>
      </c>
      <c r="G66" s="349">
        <v>1995231.7279999999</v>
      </c>
      <c r="H66" s="347">
        <f t="shared" ref="H66:H111" si="14">IF(F66=0, "    ---- ", IF(ABS(ROUND(100/F66*G66-100,1))&lt;999,ROUND(100/F66*G66-100,1),IF(ROUND(100/F66*G66-100,1)&gt;999,999,-999)))</f>
        <v>8.8000000000000007</v>
      </c>
      <c r="I66" s="11">
        <f>IFERROR(100/'Skjema total MA'!F66*G66,0)</f>
        <v>12.689324061885843</v>
      </c>
      <c r="J66" s="307">
        <f t="shared" ref="J66:K86" si="15">SUM(B66,F66)</f>
        <v>2448718.9249999998</v>
      </c>
      <c r="K66" s="314">
        <f t="shared" si="15"/>
        <v>2607041.7280000001</v>
      </c>
      <c r="L66" s="371">
        <f t="shared" ref="L66:L111" si="16">IF(J66=0, "    ---- ", IF(ABS(ROUND(100/J66*K66-100,1))&lt;999,ROUND(100/J66*K66-100,1),IF(ROUND(100/J66*K66-100,1)&gt;999,999,-999)))</f>
        <v>6.5</v>
      </c>
      <c r="M66" s="11">
        <f>IFERROR(100/'Skjema total MA'!I66*K66,0)</f>
        <v>12.358518831526787</v>
      </c>
    </row>
    <row r="67" spans="1:14" x14ac:dyDescent="0.2">
      <c r="A67" s="365" t="s">
        <v>9</v>
      </c>
      <c r="B67" s="44">
        <v>486991.01</v>
      </c>
      <c r="C67" s="145">
        <v>496267.58100000001</v>
      </c>
      <c r="D67" s="166">
        <f t="shared" si="13"/>
        <v>1.9</v>
      </c>
      <c r="E67" s="27">
        <f>IFERROR(100/'Skjema total MA'!C67*C67,0)</f>
        <v>11.889439582382899</v>
      </c>
      <c r="F67" s="232"/>
      <c r="G67" s="145"/>
      <c r="H67" s="166"/>
      <c r="I67" s="27"/>
      <c r="J67" s="285">
        <f t="shared" si="15"/>
        <v>486991.01</v>
      </c>
      <c r="K67" s="44">
        <f t="shared" si="15"/>
        <v>496267.58100000001</v>
      </c>
      <c r="L67" s="252">
        <f t="shared" si="16"/>
        <v>1.9</v>
      </c>
      <c r="M67" s="27">
        <f>IFERROR(100/'Skjema total MA'!I67*K67,0)</f>
        <v>11.889439582382899</v>
      </c>
    </row>
    <row r="68" spans="1:14" x14ac:dyDescent="0.2">
      <c r="A68" s="21" t="s">
        <v>10</v>
      </c>
      <c r="B68" s="290">
        <v>13193</v>
      </c>
      <c r="C68" s="291">
        <v>9865</v>
      </c>
      <c r="D68" s="166">
        <f t="shared" si="13"/>
        <v>-25.2</v>
      </c>
      <c r="E68" s="27">
        <f>IFERROR(100/'Skjema total MA'!C68*C68,0)</f>
        <v>8.6948057073025833</v>
      </c>
      <c r="F68" s="290">
        <v>1834444.925</v>
      </c>
      <c r="G68" s="291">
        <v>1995231.7279999999</v>
      </c>
      <c r="H68" s="166">
        <f t="shared" si="14"/>
        <v>8.8000000000000007</v>
      </c>
      <c r="I68" s="27">
        <f>IFERROR(100/'Skjema total MA'!F68*G68,0)</f>
        <v>12.859863898716879</v>
      </c>
      <c r="J68" s="285">
        <f t="shared" si="15"/>
        <v>1847637.925</v>
      </c>
      <c r="K68" s="44">
        <f t="shared" si="15"/>
        <v>2005096.7279999999</v>
      </c>
      <c r="L68" s="252">
        <f t="shared" si="16"/>
        <v>8.5</v>
      </c>
      <c r="M68" s="27">
        <f>IFERROR(100/'Skjema total MA'!I68*K68,0)</f>
        <v>12.829627018200769</v>
      </c>
    </row>
    <row r="69" spans="1:14" ht="15.75" x14ac:dyDescent="0.2">
      <c r="A69" s="294" t="s">
        <v>386</v>
      </c>
      <c r="B69" s="279"/>
      <c r="C69" s="279"/>
      <c r="D69" s="166"/>
      <c r="E69" s="363"/>
      <c r="F69" s="279"/>
      <c r="G69" s="279"/>
      <c r="H69" s="166"/>
      <c r="I69" s="363"/>
      <c r="J69" s="288"/>
      <c r="K69" s="288"/>
      <c r="L69" s="166"/>
      <c r="M69" s="23"/>
    </row>
    <row r="70" spans="1:14" x14ac:dyDescent="0.2">
      <c r="A70" s="294" t="s">
        <v>12</v>
      </c>
      <c r="B70" s="292"/>
      <c r="C70" s="293"/>
      <c r="D70" s="166"/>
      <c r="E70" s="363"/>
      <c r="F70" s="279"/>
      <c r="G70" s="279"/>
      <c r="H70" s="166"/>
      <c r="I70" s="363"/>
      <c r="J70" s="288"/>
      <c r="K70" s="288"/>
      <c r="L70" s="166"/>
      <c r="M70" s="23"/>
    </row>
    <row r="71" spans="1:14" x14ac:dyDescent="0.2">
      <c r="A71" s="294" t="s">
        <v>13</v>
      </c>
      <c r="B71" s="233"/>
      <c r="C71" s="287"/>
      <c r="D71" s="166"/>
      <c r="E71" s="363"/>
      <c r="F71" s="279"/>
      <c r="G71" s="279"/>
      <c r="H71" s="166"/>
      <c r="I71" s="363"/>
      <c r="J71" s="288"/>
      <c r="K71" s="288"/>
      <c r="L71" s="166"/>
      <c r="M71" s="23"/>
    </row>
    <row r="72" spans="1:14" ht="15.75" x14ac:dyDescent="0.2">
      <c r="A72" s="294" t="s">
        <v>387</v>
      </c>
      <c r="B72" s="279"/>
      <c r="C72" s="279"/>
      <c r="D72" s="166"/>
      <c r="E72" s="363"/>
      <c r="F72" s="279"/>
      <c r="G72" s="279"/>
      <c r="H72" s="166"/>
      <c r="I72" s="363"/>
      <c r="J72" s="288"/>
      <c r="K72" s="288"/>
      <c r="L72" s="166"/>
      <c r="M72" s="23"/>
    </row>
    <row r="73" spans="1:14" x14ac:dyDescent="0.2">
      <c r="A73" s="294" t="s">
        <v>12</v>
      </c>
      <c r="B73" s="233"/>
      <c r="C73" s="287"/>
      <c r="D73" s="166"/>
      <c r="E73" s="363"/>
      <c r="F73" s="279"/>
      <c r="G73" s="279"/>
      <c r="H73" s="166"/>
      <c r="I73" s="363"/>
      <c r="J73" s="288"/>
      <c r="K73" s="288"/>
      <c r="L73" s="166"/>
      <c r="M73" s="23"/>
    </row>
    <row r="74" spans="1:14" s="3" customFormat="1" x14ac:dyDescent="0.2">
      <c r="A74" s="294" t="s">
        <v>13</v>
      </c>
      <c r="B74" s="233"/>
      <c r="C74" s="287"/>
      <c r="D74" s="166"/>
      <c r="E74" s="363"/>
      <c r="F74" s="279"/>
      <c r="G74" s="279"/>
      <c r="H74" s="166"/>
      <c r="I74" s="363"/>
      <c r="J74" s="288"/>
      <c r="K74" s="288"/>
      <c r="L74" s="166"/>
      <c r="M74" s="23"/>
      <c r="N74" s="148"/>
    </row>
    <row r="75" spans="1:14" s="3" customFormat="1" x14ac:dyDescent="0.2">
      <c r="A75" s="21" t="s">
        <v>356</v>
      </c>
      <c r="B75" s="232"/>
      <c r="C75" s="145"/>
      <c r="D75" s="166"/>
      <c r="E75" s="27"/>
      <c r="F75" s="232"/>
      <c r="G75" s="145"/>
      <c r="H75" s="166"/>
      <c r="I75" s="27"/>
      <c r="J75" s="285"/>
      <c r="K75" s="44"/>
      <c r="L75" s="252"/>
      <c r="M75" s="27"/>
      <c r="N75" s="148"/>
    </row>
    <row r="76" spans="1:14" s="3" customFormat="1" x14ac:dyDescent="0.2">
      <c r="A76" s="21" t="s">
        <v>355</v>
      </c>
      <c r="B76" s="232">
        <v>114089.99</v>
      </c>
      <c r="C76" s="145">
        <v>105677.41899999999</v>
      </c>
      <c r="D76" s="166">
        <f t="shared" ref="D76" si="17">IF(B76=0, "    ---- ", IF(ABS(ROUND(100/B76*C76-100,1))&lt;999,ROUND(100/B76*C76-100,1),IF(ROUND(100/B76*C76-100,1)&gt;999,999,-999)))</f>
        <v>-7.4</v>
      </c>
      <c r="E76" s="27">
        <f>IFERROR(100/'Skjema total MA'!C77*C76,0)</f>
        <v>2.5020616487524232</v>
      </c>
      <c r="F76" s="232"/>
      <c r="G76" s="145"/>
      <c r="H76" s="166"/>
      <c r="I76" s="27"/>
      <c r="J76" s="285">
        <f t="shared" ref="J76" si="18">SUM(B76,F76)</f>
        <v>114089.99</v>
      </c>
      <c r="K76" s="44">
        <f t="shared" ref="K76" si="19">SUM(C76,G76)</f>
        <v>105677.41899999999</v>
      </c>
      <c r="L76" s="252">
        <f t="shared" ref="L76" si="20">IF(J76=0, "    ---- ", IF(ABS(ROUND(100/J76*K76-100,1))&lt;999,ROUND(100/J76*K76-100,1),IF(ROUND(100/J76*K76-100,1)&gt;999,999,-999)))</f>
        <v>-7.4</v>
      </c>
      <c r="M76" s="27">
        <f>IFERROR(100/'Skjema total MA'!I77*K76,0)</f>
        <v>0.53556181684646276</v>
      </c>
      <c r="N76" s="148"/>
    </row>
    <row r="77" spans="1:14" ht="15.75" x14ac:dyDescent="0.2">
      <c r="A77" s="21" t="s">
        <v>388</v>
      </c>
      <c r="B77" s="232">
        <v>489987.53899999999</v>
      </c>
      <c r="C77" s="232">
        <v>498494.01999999996</v>
      </c>
      <c r="D77" s="166">
        <f t="shared" si="13"/>
        <v>1.7</v>
      </c>
      <c r="E77" s="27">
        <f>IFERROR(100/'Skjema total MA'!C77*C77,0)</f>
        <v>11.802547614967994</v>
      </c>
      <c r="F77" s="232">
        <v>1832114.179</v>
      </c>
      <c r="G77" s="145">
        <v>1993150.3859999999</v>
      </c>
      <c r="H77" s="166">
        <f t="shared" si="14"/>
        <v>8.8000000000000007</v>
      </c>
      <c r="I77" s="27">
        <f>IFERROR(100/'Skjema total MA'!F77*G77,0)</f>
        <v>12.852025216505101</v>
      </c>
      <c r="J77" s="285">
        <f t="shared" si="15"/>
        <v>2322101.7179999999</v>
      </c>
      <c r="K77" s="44">
        <f t="shared" si="15"/>
        <v>2491644.406</v>
      </c>
      <c r="L77" s="252">
        <f t="shared" si="16"/>
        <v>7.3</v>
      </c>
      <c r="M77" s="27">
        <f>IFERROR(100/'Skjema total MA'!I77*K77,0)</f>
        <v>12.627386414619812</v>
      </c>
    </row>
    <row r="78" spans="1:14" x14ac:dyDescent="0.2">
      <c r="A78" s="21" t="s">
        <v>9</v>
      </c>
      <c r="B78" s="232">
        <v>479125.66200000001</v>
      </c>
      <c r="C78" s="145">
        <v>490710.44699999999</v>
      </c>
      <c r="D78" s="166">
        <f t="shared" si="13"/>
        <v>2.4</v>
      </c>
      <c r="E78" s="27">
        <f>IFERROR(100/'Skjema total MA'!C78*C78,0)</f>
        <v>11.932933213948926</v>
      </c>
      <c r="F78" s="232"/>
      <c r="G78" s="145"/>
      <c r="H78" s="166"/>
      <c r="I78" s="27"/>
      <c r="J78" s="285">
        <f t="shared" si="15"/>
        <v>479125.66200000001</v>
      </c>
      <c r="K78" s="44">
        <f t="shared" si="15"/>
        <v>490710.44699999999</v>
      </c>
      <c r="L78" s="252">
        <f t="shared" si="16"/>
        <v>2.4</v>
      </c>
      <c r="M78" s="27">
        <f>IFERROR(100/'Skjema total MA'!I78*K78,0)</f>
        <v>11.932933213948926</v>
      </c>
    </row>
    <row r="79" spans="1:14" x14ac:dyDescent="0.2">
      <c r="A79" s="21" t="s">
        <v>10</v>
      </c>
      <c r="B79" s="290">
        <v>10861.877</v>
      </c>
      <c r="C79" s="291">
        <v>7783.5730000000003</v>
      </c>
      <c r="D79" s="166">
        <f t="shared" si="13"/>
        <v>-28.3</v>
      </c>
      <c r="E79" s="27">
        <f>IFERROR(100/'Skjema total MA'!C79*C79,0)</f>
        <v>6.9884848672767514</v>
      </c>
      <c r="F79" s="290">
        <v>1832114.179</v>
      </c>
      <c r="G79" s="291">
        <v>1993150.3859999999</v>
      </c>
      <c r="H79" s="166">
        <f t="shared" si="14"/>
        <v>8.8000000000000007</v>
      </c>
      <c r="I79" s="27">
        <f>IFERROR(100/'Skjema total MA'!F79*G79,0)</f>
        <v>12.852025216505101</v>
      </c>
      <c r="J79" s="285">
        <f t="shared" si="15"/>
        <v>1842976.0560000001</v>
      </c>
      <c r="K79" s="44">
        <f t="shared" si="15"/>
        <v>2000933.959</v>
      </c>
      <c r="L79" s="252">
        <f t="shared" si="16"/>
        <v>8.6</v>
      </c>
      <c r="M79" s="27">
        <f>IFERROR(100/'Skjema total MA'!I79*K79,0)</f>
        <v>12.810215274514348</v>
      </c>
    </row>
    <row r="80" spans="1:14" ht="15.75" x14ac:dyDescent="0.2">
      <c r="A80" s="294" t="s">
        <v>386</v>
      </c>
      <c r="B80" s="279"/>
      <c r="C80" s="279"/>
      <c r="D80" s="166"/>
      <c r="E80" s="363"/>
      <c r="F80" s="279"/>
      <c r="G80" s="279"/>
      <c r="H80" s="166"/>
      <c r="I80" s="363"/>
      <c r="J80" s="288"/>
      <c r="K80" s="288"/>
      <c r="L80" s="166"/>
      <c r="M80" s="23"/>
    </row>
    <row r="81" spans="1:13" x14ac:dyDescent="0.2">
      <c r="A81" s="294" t="s">
        <v>12</v>
      </c>
      <c r="B81" s="233"/>
      <c r="C81" s="287"/>
      <c r="D81" s="166"/>
      <c r="E81" s="363"/>
      <c r="F81" s="279"/>
      <c r="G81" s="279"/>
      <c r="H81" s="166"/>
      <c r="I81" s="363"/>
      <c r="J81" s="288"/>
      <c r="K81" s="288"/>
      <c r="L81" s="166"/>
      <c r="M81" s="23"/>
    </row>
    <row r="82" spans="1:13" x14ac:dyDescent="0.2">
      <c r="A82" s="294" t="s">
        <v>13</v>
      </c>
      <c r="B82" s="233"/>
      <c r="C82" s="287"/>
      <c r="D82" s="166"/>
      <c r="E82" s="363"/>
      <c r="F82" s="279"/>
      <c r="G82" s="279"/>
      <c r="H82" s="166"/>
      <c r="I82" s="363"/>
      <c r="J82" s="288"/>
      <c r="K82" s="288"/>
      <c r="L82" s="166"/>
      <c r="M82" s="23"/>
    </row>
    <row r="83" spans="1:13" ht="15.75" x14ac:dyDescent="0.2">
      <c r="A83" s="294" t="s">
        <v>387</v>
      </c>
      <c r="B83" s="279"/>
      <c r="C83" s="279"/>
      <c r="D83" s="166"/>
      <c r="E83" s="363"/>
      <c r="F83" s="279"/>
      <c r="G83" s="279"/>
      <c r="H83" s="166"/>
      <c r="I83" s="363"/>
      <c r="J83" s="288"/>
      <c r="K83" s="288"/>
      <c r="L83" s="166"/>
      <c r="M83" s="23"/>
    </row>
    <row r="84" spans="1:13" x14ac:dyDescent="0.2">
      <c r="A84" s="294" t="s">
        <v>12</v>
      </c>
      <c r="B84" s="233"/>
      <c r="C84" s="287"/>
      <c r="D84" s="166"/>
      <c r="E84" s="363"/>
      <c r="F84" s="279"/>
      <c r="G84" s="279"/>
      <c r="H84" s="166"/>
      <c r="I84" s="363"/>
      <c r="J84" s="288"/>
      <c r="K84" s="288"/>
      <c r="L84" s="166"/>
      <c r="M84" s="23"/>
    </row>
    <row r="85" spans="1:13" x14ac:dyDescent="0.2">
      <c r="A85" s="294" t="s">
        <v>13</v>
      </c>
      <c r="B85" s="233"/>
      <c r="C85" s="287"/>
      <c r="D85" s="166"/>
      <c r="E85" s="363"/>
      <c r="F85" s="279"/>
      <c r="G85" s="279"/>
      <c r="H85" s="166"/>
      <c r="I85" s="363"/>
      <c r="J85" s="288"/>
      <c r="K85" s="288"/>
      <c r="L85" s="166"/>
      <c r="M85" s="23"/>
    </row>
    <row r="86" spans="1:13" ht="15.75" x14ac:dyDescent="0.2">
      <c r="A86" s="21" t="s">
        <v>389</v>
      </c>
      <c r="B86" s="232">
        <v>10196.471</v>
      </c>
      <c r="C86" s="145">
        <v>7638.5609999999997</v>
      </c>
      <c r="D86" s="166">
        <f t="shared" si="13"/>
        <v>-25.1</v>
      </c>
      <c r="E86" s="27">
        <f>IFERROR(100/'Skjema total MA'!C86*C86,0)</f>
        <v>11.960603369532716</v>
      </c>
      <c r="F86" s="232">
        <v>2330.7460000000001</v>
      </c>
      <c r="G86" s="145">
        <v>2081.3420000000001</v>
      </c>
      <c r="H86" s="166">
        <f t="shared" si="14"/>
        <v>-10.7</v>
      </c>
      <c r="I86" s="27">
        <f>IFERROR(100/'Skjema total MA'!F86*G86,0)</f>
        <v>30.918657812511057</v>
      </c>
      <c r="J86" s="285">
        <f t="shared" si="15"/>
        <v>12527.217000000001</v>
      </c>
      <c r="K86" s="44">
        <f t="shared" si="15"/>
        <v>9719.9030000000002</v>
      </c>
      <c r="L86" s="252">
        <f t="shared" si="16"/>
        <v>-22.4</v>
      </c>
      <c r="M86" s="27">
        <f>IFERROR(100/'Skjema total MA'!I86*K86,0)</f>
        <v>13.76834514739584</v>
      </c>
    </row>
    <row r="87" spans="1:13" ht="15.75" x14ac:dyDescent="0.2">
      <c r="A87" s="13" t="s">
        <v>371</v>
      </c>
      <c r="B87" s="350">
        <v>45153395.738597907</v>
      </c>
      <c r="C87" s="350">
        <v>46352982.351856299</v>
      </c>
      <c r="D87" s="171">
        <f t="shared" si="13"/>
        <v>2.7</v>
      </c>
      <c r="E87" s="11">
        <f>IFERROR(100/'Skjema total MA'!C87*C87,0)</f>
        <v>11.888864588697881</v>
      </c>
      <c r="F87" s="349">
        <v>32662910.723051298</v>
      </c>
      <c r="G87" s="349">
        <v>37708649.833666198</v>
      </c>
      <c r="H87" s="171">
        <f t="shared" si="14"/>
        <v>15.4</v>
      </c>
      <c r="I87" s="11">
        <f>IFERROR(100/'Skjema total MA'!F87*G87,0)</f>
        <v>13.285443285659467</v>
      </c>
      <c r="J87" s="307">
        <f t="shared" ref="J87:K111" si="21">SUM(B87,F87)</f>
        <v>77816306.461649209</v>
      </c>
      <c r="K87" s="234">
        <f t="shared" si="21"/>
        <v>84061632.185522497</v>
      </c>
      <c r="L87" s="371">
        <f t="shared" si="16"/>
        <v>8</v>
      </c>
      <c r="M87" s="11">
        <f>IFERROR(100/'Skjema total MA'!I87*K87,0)</f>
        <v>12.477235082932447</v>
      </c>
    </row>
    <row r="88" spans="1:13" x14ac:dyDescent="0.2">
      <c r="A88" s="21" t="s">
        <v>9</v>
      </c>
      <c r="B88" s="232">
        <v>43986985.399709597</v>
      </c>
      <c r="C88" s="145">
        <v>45071903.805105597</v>
      </c>
      <c r="D88" s="166">
        <f t="shared" si="13"/>
        <v>2.5</v>
      </c>
      <c r="E88" s="27">
        <f>IFERROR(100/'Skjema total MA'!C88*C88,0)</f>
        <v>11.836212829470018</v>
      </c>
      <c r="F88" s="232"/>
      <c r="G88" s="145"/>
      <c r="H88" s="166"/>
      <c r="I88" s="27"/>
      <c r="J88" s="285">
        <f t="shared" si="21"/>
        <v>43986985.399709597</v>
      </c>
      <c r="K88" s="44">
        <f t="shared" si="21"/>
        <v>45071903.805105597</v>
      </c>
      <c r="L88" s="252">
        <f t="shared" si="16"/>
        <v>2.5</v>
      </c>
      <c r="M88" s="27">
        <f>IFERROR(100/'Skjema total MA'!I88*K88,0)</f>
        <v>11.836212829470018</v>
      </c>
    </row>
    <row r="89" spans="1:13" x14ac:dyDescent="0.2">
      <c r="A89" s="21" t="s">
        <v>10</v>
      </c>
      <c r="B89" s="232">
        <v>1083023.01288831</v>
      </c>
      <c r="C89" s="145">
        <v>1131234.6667507</v>
      </c>
      <c r="D89" s="166">
        <f t="shared" si="13"/>
        <v>4.5</v>
      </c>
      <c r="E89" s="27">
        <f>IFERROR(100/'Skjema total MA'!C89*C89,0)</f>
        <v>38.711374068214489</v>
      </c>
      <c r="F89" s="232">
        <v>32662910.723051298</v>
      </c>
      <c r="G89" s="145">
        <v>37708649.833666198</v>
      </c>
      <c r="H89" s="166">
        <f t="shared" si="14"/>
        <v>15.4</v>
      </c>
      <c r="I89" s="27">
        <f>IFERROR(100/'Skjema total MA'!F89*G89,0)</f>
        <v>13.34661008216286</v>
      </c>
      <c r="J89" s="285">
        <f t="shared" si="21"/>
        <v>33745933.735939607</v>
      </c>
      <c r="K89" s="44">
        <f t="shared" si="21"/>
        <v>38839884.500416897</v>
      </c>
      <c r="L89" s="252">
        <f t="shared" si="16"/>
        <v>15.1</v>
      </c>
      <c r="M89" s="27">
        <f>IFERROR(100/'Skjema total MA'!I89*K89,0)</f>
        <v>13.606270721663972</v>
      </c>
    </row>
    <row r="90" spans="1:13" ht="15.75" x14ac:dyDescent="0.2">
      <c r="A90" s="294" t="s">
        <v>386</v>
      </c>
      <c r="B90" s="279"/>
      <c r="C90" s="279"/>
      <c r="D90" s="166"/>
      <c r="E90" s="363"/>
      <c r="F90" s="279"/>
      <c r="G90" s="279"/>
      <c r="H90" s="166"/>
      <c r="I90" s="363"/>
      <c r="J90" s="288"/>
      <c r="K90" s="288"/>
      <c r="L90" s="166"/>
      <c r="M90" s="23"/>
    </row>
    <row r="91" spans="1:13" x14ac:dyDescent="0.2">
      <c r="A91" s="294" t="s">
        <v>12</v>
      </c>
      <c r="B91" s="233"/>
      <c r="C91" s="287"/>
      <c r="D91" s="166"/>
      <c r="E91" s="363"/>
      <c r="F91" s="279"/>
      <c r="G91" s="279"/>
      <c r="H91" s="166"/>
      <c r="I91" s="363"/>
      <c r="J91" s="288"/>
      <c r="K91" s="288"/>
      <c r="L91" s="166"/>
      <c r="M91" s="23"/>
    </row>
    <row r="92" spans="1:13" x14ac:dyDescent="0.2">
      <c r="A92" s="294" t="s">
        <v>13</v>
      </c>
      <c r="B92" s="233"/>
      <c r="C92" s="287"/>
      <c r="D92" s="166"/>
      <c r="E92" s="363"/>
      <c r="F92" s="279"/>
      <c r="G92" s="279"/>
      <c r="H92" s="166"/>
      <c r="I92" s="363"/>
      <c r="J92" s="288"/>
      <c r="K92" s="288"/>
      <c r="L92" s="166"/>
      <c r="M92" s="23"/>
    </row>
    <row r="93" spans="1:13" ht="15.75" x14ac:dyDescent="0.2">
      <c r="A93" s="294" t="s">
        <v>387</v>
      </c>
      <c r="B93" s="279"/>
      <c r="C93" s="279"/>
      <c r="D93" s="166"/>
      <c r="E93" s="363"/>
      <c r="F93" s="279"/>
      <c r="G93" s="279"/>
      <c r="H93" s="166"/>
      <c r="I93" s="363"/>
      <c r="J93" s="288"/>
      <c r="K93" s="288"/>
      <c r="L93" s="166"/>
      <c r="M93" s="23"/>
    </row>
    <row r="94" spans="1:13" x14ac:dyDescent="0.2">
      <c r="A94" s="294" t="s">
        <v>12</v>
      </c>
      <c r="B94" s="233"/>
      <c r="C94" s="287"/>
      <c r="D94" s="166"/>
      <c r="E94" s="363"/>
      <c r="F94" s="279"/>
      <c r="G94" s="279"/>
      <c r="H94" s="166"/>
      <c r="I94" s="363"/>
      <c r="J94" s="288"/>
      <c r="K94" s="288"/>
      <c r="L94" s="166"/>
      <c r="M94" s="23"/>
    </row>
    <row r="95" spans="1:13" x14ac:dyDescent="0.2">
      <c r="A95" s="294" t="s">
        <v>13</v>
      </c>
      <c r="B95" s="233"/>
      <c r="C95" s="287"/>
      <c r="D95" s="166"/>
      <c r="E95" s="363"/>
      <c r="F95" s="279"/>
      <c r="G95" s="279"/>
      <c r="H95" s="166"/>
      <c r="I95" s="363"/>
      <c r="J95" s="288"/>
      <c r="K95" s="288"/>
      <c r="L95" s="166"/>
      <c r="M95" s="23"/>
    </row>
    <row r="96" spans="1:13" x14ac:dyDescent="0.2">
      <c r="A96" s="21" t="s">
        <v>354</v>
      </c>
      <c r="B96" s="232"/>
      <c r="C96" s="145"/>
      <c r="D96" s="166"/>
      <c r="E96" s="27"/>
      <c r="F96" s="232"/>
      <c r="G96" s="145"/>
      <c r="H96" s="166"/>
      <c r="I96" s="27"/>
      <c r="J96" s="285"/>
      <c r="K96" s="44"/>
      <c r="L96" s="252"/>
      <c r="M96" s="27"/>
    </row>
    <row r="97" spans="1:13" x14ac:dyDescent="0.2">
      <c r="A97" s="21" t="s">
        <v>353</v>
      </c>
      <c r="B97" s="232">
        <v>83387.326000000001</v>
      </c>
      <c r="C97" s="145">
        <v>149843.88</v>
      </c>
      <c r="D97" s="166">
        <f t="shared" ref="D97" si="22">IF(B97=0, "    ---- ", IF(ABS(ROUND(100/B97*C97-100,1))&lt;999,ROUND(100/B97*C97-100,1),IF(ROUND(100/B97*C97-100,1)&gt;999,999,-999)))</f>
        <v>79.7</v>
      </c>
      <c r="E97" s="27">
        <f>IFERROR(100/'Skjema total MA'!C98*C97,0)</f>
        <v>3.9539199754087644E-2</v>
      </c>
      <c r="F97" s="232"/>
      <c r="G97" s="145"/>
      <c r="H97" s="166"/>
      <c r="I97" s="27"/>
      <c r="J97" s="285">
        <f t="shared" ref="J97" si="23">SUM(B97,F97)</f>
        <v>83387.326000000001</v>
      </c>
      <c r="K97" s="44">
        <f t="shared" ref="K97" si="24">SUM(C97,G97)</f>
        <v>149843.88</v>
      </c>
      <c r="L97" s="252">
        <f t="shared" ref="L97" si="25">IF(J97=0, "    ---- ", IF(ABS(ROUND(100/J97*K97-100,1))&lt;999,ROUND(100/J97*K97-100,1),IF(ROUND(100/J97*K97-100,1)&gt;999,999,-999)))</f>
        <v>79.7</v>
      </c>
      <c r="M97" s="27">
        <f>IFERROR(100/'Skjema total MA'!I98*K97,0)</f>
        <v>2.2678642431521942E-2</v>
      </c>
    </row>
    <row r="98" spans="1:13" ht="15.75" x14ac:dyDescent="0.2">
      <c r="A98" s="21" t="s">
        <v>388</v>
      </c>
      <c r="B98" s="232">
        <v>45043761.722597912</v>
      </c>
      <c r="C98" s="232">
        <v>46181455.927856296</v>
      </c>
      <c r="D98" s="166">
        <f t="shared" si="13"/>
        <v>2.5</v>
      </c>
      <c r="E98" s="27">
        <f>IFERROR(100/'Skjema total MA'!C98*C98,0)</f>
        <v>12.185868457664771</v>
      </c>
      <c r="F98" s="290">
        <v>32642196.111051299</v>
      </c>
      <c r="G98" s="290">
        <v>37685545.520666197</v>
      </c>
      <c r="H98" s="166">
        <f t="shared" si="14"/>
        <v>15.5</v>
      </c>
      <c r="I98" s="27">
        <f>IFERROR(100/'Skjema total MA'!F98*G98,0)</f>
        <v>13.375462226395085</v>
      </c>
      <c r="J98" s="285">
        <f t="shared" si="21"/>
        <v>77685957.833649218</v>
      </c>
      <c r="K98" s="44">
        <f t="shared" si="21"/>
        <v>83867001.448522493</v>
      </c>
      <c r="L98" s="252">
        <f t="shared" si="16"/>
        <v>8</v>
      </c>
      <c r="M98" s="27">
        <f>IFERROR(100/'Skjema total MA'!I98*K98,0)</f>
        <v>12.693142607192062</v>
      </c>
    </row>
    <row r="99" spans="1:13" x14ac:dyDescent="0.2">
      <c r="A99" s="21" t="s">
        <v>9</v>
      </c>
      <c r="B99" s="290">
        <v>43960738.7097096</v>
      </c>
      <c r="C99" s="291">
        <v>45050221.261105597</v>
      </c>
      <c r="D99" s="166">
        <f t="shared" si="13"/>
        <v>2.5</v>
      </c>
      <c r="E99" s="27">
        <f>IFERROR(100/'Skjema total MA'!C99*C99,0)</f>
        <v>11.979744525954715</v>
      </c>
      <c r="F99" s="232"/>
      <c r="G99" s="145"/>
      <c r="H99" s="166"/>
      <c r="I99" s="27"/>
      <c r="J99" s="285">
        <f t="shared" si="21"/>
        <v>43960738.7097096</v>
      </c>
      <c r="K99" s="44">
        <f t="shared" si="21"/>
        <v>45050221.261105597</v>
      </c>
      <c r="L99" s="252">
        <f t="shared" si="16"/>
        <v>2.5</v>
      </c>
      <c r="M99" s="27">
        <f>IFERROR(100/'Skjema total MA'!I99*K99,0)</f>
        <v>11.979744525954715</v>
      </c>
    </row>
    <row r="100" spans="1:13" x14ac:dyDescent="0.2">
      <c r="A100" s="21" t="s">
        <v>10</v>
      </c>
      <c r="B100" s="290">
        <v>1083023.01288831</v>
      </c>
      <c r="C100" s="291">
        <v>1131234.6667507</v>
      </c>
      <c r="D100" s="166">
        <f t="shared" si="13"/>
        <v>4.5</v>
      </c>
      <c r="E100" s="27">
        <f>IFERROR(100/'Skjema total MA'!C100*C100,0)</f>
        <v>38.711374068214489</v>
      </c>
      <c r="F100" s="232">
        <v>32642196.111051299</v>
      </c>
      <c r="G100" s="232">
        <v>37685545.520666197</v>
      </c>
      <c r="H100" s="166">
        <f t="shared" si="14"/>
        <v>15.5</v>
      </c>
      <c r="I100" s="27">
        <f>IFERROR(100/'Skjema total MA'!F100*G100,0)</f>
        <v>13.375462226395085</v>
      </c>
      <c r="J100" s="285">
        <f t="shared" si="21"/>
        <v>33725219.123939611</v>
      </c>
      <c r="K100" s="44">
        <f t="shared" si="21"/>
        <v>38816780.187416896</v>
      </c>
      <c r="L100" s="252">
        <f t="shared" si="16"/>
        <v>15.1</v>
      </c>
      <c r="M100" s="27">
        <f>IFERROR(100/'Skjema total MA'!I100*K100,0)</f>
        <v>13.635540154217223</v>
      </c>
    </row>
    <row r="101" spans="1:13" ht="15.75" x14ac:dyDescent="0.2">
      <c r="A101" s="294" t="s">
        <v>386</v>
      </c>
      <c r="B101" s="279"/>
      <c r="C101" s="279"/>
      <c r="D101" s="166"/>
      <c r="E101" s="363"/>
      <c r="F101" s="279"/>
      <c r="G101" s="279"/>
      <c r="H101" s="166"/>
      <c r="I101" s="363"/>
      <c r="J101" s="288"/>
      <c r="K101" s="288"/>
      <c r="L101" s="166"/>
      <c r="M101" s="23"/>
    </row>
    <row r="102" spans="1:13" x14ac:dyDescent="0.2">
      <c r="A102" s="294" t="s">
        <v>12</v>
      </c>
      <c r="B102" s="233"/>
      <c r="C102" s="287"/>
      <c r="D102" s="166"/>
      <c r="E102" s="363"/>
      <c r="F102" s="279"/>
      <c r="G102" s="279"/>
      <c r="H102" s="166"/>
      <c r="I102" s="363"/>
      <c r="J102" s="288"/>
      <c r="K102" s="288"/>
      <c r="L102" s="166"/>
      <c r="M102" s="23"/>
    </row>
    <row r="103" spans="1:13" x14ac:dyDescent="0.2">
      <c r="A103" s="294" t="s">
        <v>13</v>
      </c>
      <c r="B103" s="233"/>
      <c r="C103" s="287"/>
      <c r="D103" s="166"/>
      <c r="E103" s="363"/>
      <c r="F103" s="279"/>
      <c r="G103" s="279"/>
      <c r="H103" s="166"/>
      <c r="I103" s="363"/>
      <c r="J103" s="288"/>
      <c r="K103" s="288"/>
      <c r="L103" s="166"/>
      <c r="M103" s="23"/>
    </row>
    <row r="104" spans="1:13" ht="15.75" x14ac:dyDescent="0.2">
      <c r="A104" s="294" t="s">
        <v>387</v>
      </c>
      <c r="B104" s="279"/>
      <c r="C104" s="279"/>
      <c r="D104" s="166"/>
      <c r="E104" s="363"/>
      <c r="F104" s="279"/>
      <c r="G104" s="279"/>
      <c r="H104" s="166"/>
      <c r="I104" s="363"/>
      <c r="J104" s="288"/>
      <c r="K104" s="288"/>
      <c r="L104" s="166"/>
      <c r="M104" s="23"/>
    </row>
    <row r="105" spans="1:13" x14ac:dyDescent="0.2">
      <c r="A105" s="294" t="s">
        <v>12</v>
      </c>
      <c r="B105" s="233"/>
      <c r="C105" s="287"/>
      <c r="D105" s="166"/>
      <c r="E105" s="363"/>
      <c r="F105" s="279"/>
      <c r="G105" s="279"/>
      <c r="H105" s="166"/>
      <c r="I105" s="363"/>
      <c r="J105" s="288"/>
      <c r="K105" s="288"/>
      <c r="L105" s="166"/>
      <c r="M105" s="23"/>
    </row>
    <row r="106" spans="1:13" x14ac:dyDescent="0.2">
      <c r="A106" s="294" t="s">
        <v>13</v>
      </c>
      <c r="B106" s="233"/>
      <c r="C106" s="287"/>
      <c r="D106" s="166"/>
      <c r="E106" s="363"/>
      <c r="F106" s="279"/>
      <c r="G106" s="279"/>
      <c r="H106" s="166"/>
      <c r="I106" s="363"/>
      <c r="J106" s="288"/>
      <c r="K106" s="288"/>
      <c r="L106" s="166"/>
      <c r="M106" s="23"/>
    </row>
    <row r="107" spans="1:13" ht="15.75" x14ac:dyDescent="0.2">
      <c r="A107" s="21" t="s">
        <v>389</v>
      </c>
      <c r="B107" s="232">
        <v>26246.69</v>
      </c>
      <c r="C107" s="145">
        <v>21682.544000000002</v>
      </c>
      <c r="D107" s="166">
        <f t="shared" si="13"/>
        <v>-17.399999999999999</v>
      </c>
      <c r="E107" s="27">
        <f>IFERROR(100/'Skjema total MA'!C107*C107,0)</f>
        <v>0.45711036221639789</v>
      </c>
      <c r="F107" s="232">
        <v>20714.612000000001</v>
      </c>
      <c r="G107" s="145">
        <v>23104.312999999998</v>
      </c>
      <c r="H107" s="166">
        <f t="shared" si="14"/>
        <v>11.5</v>
      </c>
      <c r="I107" s="27">
        <f>IFERROR(100/'Skjema total MA'!F107*G107,0)</f>
        <v>2.9538045687970156</v>
      </c>
      <c r="J107" s="285">
        <f t="shared" si="21"/>
        <v>46961.301999999996</v>
      </c>
      <c r="K107" s="44">
        <f t="shared" si="21"/>
        <v>44786.857000000004</v>
      </c>
      <c r="L107" s="252">
        <f t="shared" si="16"/>
        <v>-4.5999999999999996</v>
      </c>
      <c r="M107" s="27">
        <f>IFERROR(100/'Skjema total MA'!I107*K107,0)</f>
        <v>0.81053647240148841</v>
      </c>
    </row>
    <row r="108" spans="1:13" ht="15.75" x14ac:dyDescent="0.2">
      <c r="A108" s="21" t="s">
        <v>390</v>
      </c>
      <c r="B108" s="232">
        <v>33657190.095261797</v>
      </c>
      <c r="C108" s="232">
        <v>34882289.194998898</v>
      </c>
      <c r="D108" s="166">
        <f t="shared" si="13"/>
        <v>3.6</v>
      </c>
      <c r="E108" s="27">
        <f>IFERROR(100/'Skjema total MA'!C108*C108,0)</f>
        <v>11.057420583732931</v>
      </c>
      <c r="F108" s="232"/>
      <c r="G108" s="232"/>
      <c r="H108" s="166"/>
      <c r="I108" s="27"/>
      <c r="J108" s="285">
        <f t="shared" si="21"/>
        <v>33657190.095261797</v>
      </c>
      <c r="K108" s="44">
        <f t="shared" si="21"/>
        <v>34882289.194998898</v>
      </c>
      <c r="L108" s="252">
        <f t="shared" si="16"/>
        <v>3.6</v>
      </c>
      <c r="M108" s="27">
        <f>IFERROR(100/'Skjema total MA'!I108*K108,0)</f>
        <v>10.5158593224168</v>
      </c>
    </row>
    <row r="109" spans="1:13" ht="15.75" x14ac:dyDescent="0.2">
      <c r="A109" s="21" t="s">
        <v>391</v>
      </c>
      <c r="B109" s="232">
        <v>575707.02435838501</v>
      </c>
      <c r="C109" s="232">
        <v>570437.941744813</v>
      </c>
      <c r="D109" s="166">
        <f t="shared" si="13"/>
        <v>-0.9</v>
      </c>
      <c r="E109" s="27">
        <f>IFERROR(100/'Skjema total MA'!C109*C109,0)</f>
        <v>56.68812673568101</v>
      </c>
      <c r="F109" s="232">
        <v>13305689.557475099</v>
      </c>
      <c r="G109" s="232">
        <v>15737492.2137777</v>
      </c>
      <c r="H109" s="166">
        <f t="shared" si="14"/>
        <v>18.3</v>
      </c>
      <c r="I109" s="27">
        <f>IFERROR(100/'Skjema total MA'!F109*G109,0)</f>
        <v>16.454052623149948</v>
      </c>
      <c r="J109" s="285">
        <f t="shared" si="21"/>
        <v>13881396.581833484</v>
      </c>
      <c r="K109" s="44">
        <f t="shared" si="21"/>
        <v>16307930.155522514</v>
      </c>
      <c r="L109" s="252">
        <f t="shared" si="16"/>
        <v>17.5</v>
      </c>
      <c r="M109" s="27">
        <f>IFERROR(100/'Skjema total MA'!I109*K109,0)</f>
        <v>16.872944902021661</v>
      </c>
    </row>
    <row r="110" spans="1:13" ht="15.75" x14ac:dyDescent="0.2">
      <c r="A110" s="21" t="s">
        <v>392</v>
      </c>
      <c r="B110" s="232"/>
      <c r="C110" s="232"/>
      <c r="D110" s="166"/>
      <c r="E110" s="27"/>
      <c r="F110" s="232"/>
      <c r="G110" s="232"/>
      <c r="H110" s="166"/>
      <c r="I110" s="27"/>
      <c r="J110" s="285"/>
      <c r="K110" s="44"/>
      <c r="L110" s="252"/>
      <c r="M110" s="27"/>
    </row>
    <row r="111" spans="1:13" ht="15.75" x14ac:dyDescent="0.2">
      <c r="A111" s="13" t="s">
        <v>372</v>
      </c>
      <c r="B111" s="306">
        <v>651.95899999999995</v>
      </c>
      <c r="C111" s="159">
        <v>260.63900000000001</v>
      </c>
      <c r="D111" s="171">
        <f t="shared" si="13"/>
        <v>-60</v>
      </c>
      <c r="E111" s="11">
        <f>IFERROR(100/'Skjema total MA'!C111*C111,0)</f>
        <v>9.8891030916355177E-2</v>
      </c>
      <c r="F111" s="306">
        <v>1452250.7524900001</v>
      </c>
      <c r="G111" s="159">
        <v>1451429.754</v>
      </c>
      <c r="H111" s="171">
        <f t="shared" si="14"/>
        <v>-0.1</v>
      </c>
      <c r="I111" s="11">
        <f>IFERROR(100/'Skjema total MA'!F111*G111,0)</f>
        <v>17.787476398537446</v>
      </c>
      <c r="J111" s="307">
        <f t="shared" si="21"/>
        <v>1452902.7114900001</v>
      </c>
      <c r="K111" s="234">
        <f t="shared" si="21"/>
        <v>1451690.3929999999</v>
      </c>
      <c r="L111" s="371">
        <f t="shared" si="16"/>
        <v>-0.1</v>
      </c>
      <c r="M111" s="11">
        <f>IFERROR(100/'Skjema total MA'!I111*K111,0)</f>
        <v>17.234014103656488</v>
      </c>
    </row>
    <row r="112" spans="1:13" x14ac:dyDescent="0.2">
      <c r="A112" s="21" t="s">
        <v>9</v>
      </c>
      <c r="B112" s="232">
        <v>651.95899999999995</v>
      </c>
      <c r="C112" s="145">
        <v>260.63900000000001</v>
      </c>
      <c r="D112" s="166">
        <f t="shared" ref="D112:D120" si="26">IF(B112=0, "    ---- ", IF(ABS(ROUND(100/B112*C112-100,1))&lt;999,ROUND(100/B112*C112-100,1),IF(ROUND(100/B112*C112-100,1)&gt;999,999,-999)))</f>
        <v>-60</v>
      </c>
      <c r="E112" s="27">
        <f>IFERROR(100/'Skjema total MA'!C112*C112,0)</f>
        <v>0.1236742067643621</v>
      </c>
      <c r="F112" s="232"/>
      <c r="G112" s="145"/>
      <c r="H112" s="166"/>
      <c r="I112" s="27"/>
      <c r="J112" s="285">
        <f t="shared" ref="J112:K125" si="27">SUM(B112,F112)</f>
        <v>651.95899999999995</v>
      </c>
      <c r="K112" s="44">
        <f t="shared" si="27"/>
        <v>260.63900000000001</v>
      </c>
      <c r="L112" s="252">
        <f t="shared" ref="L112:L125" si="28">IF(J112=0, "    ---- ", IF(ABS(ROUND(100/J112*K112-100,1))&lt;999,ROUND(100/J112*K112-100,1),IF(ROUND(100/J112*K112-100,1)&gt;999,999,-999)))</f>
        <v>-60</v>
      </c>
      <c r="M112" s="27">
        <f>IFERROR(100/'Skjema total MA'!I112*K112,0)</f>
        <v>0.12065790303209259</v>
      </c>
    </row>
    <row r="113" spans="1:14" x14ac:dyDescent="0.2">
      <c r="A113" s="21" t="s">
        <v>10</v>
      </c>
      <c r="B113" s="232"/>
      <c r="C113" s="145"/>
      <c r="D113" s="166"/>
      <c r="E113" s="27"/>
      <c r="F113" s="232">
        <v>1452250.7524900001</v>
      </c>
      <c r="G113" s="145">
        <v>1451429.754</v>
      </c>
      <c r="H113" s="166">
        <f t="shared" ref="H113:H125" si="29">IF(F113=0, "    ---- ", IF(ABS(ROUND(100/F113*G113-100,1))&lt;999,ROUND(100/F113*G113-100,1),IF(ROUND(100/F113*G113-100,1)&gt;999,999,-999)))</f>
        <v>-0.1</v>
      </c>
      <c r="I113" s="27">
        <f>IFERROR(100/'Skjema total MA'!F113*G113,0)</f>
        <v>17.858150682835166</v>
      </c>
      <c r="J113" s="285">
        <f t="shared" si="27"/>
        <v>1452250.7524900001</v>
      </c>
      <c r="K113" s="44">
        <f t="shared" si="27"/>
        <v>1451429.754</v>
      </c>
      <c r="L113" s="252">
        <f t="shared" si="28"/>
        <v>-0.1</v>
      </c>
      <c r="M113" s="27">
        <f>IFERROR(100/'Skjema total MA'!I113*K113,0)</f>
        <v>17.855965603700987</v>
      </c>
    </row>
    <row r="114" spans="1:14" x14ac:dyDescent="0.2">
      <c r="A114" s="21" t="s">
        <v>26</v>
      </c>
      <c r="B114" s="232"/>
      <c r="C114" s="145"/>
      <c r="D114" s="166"/>
      <c r="E114" s="27"/>
      <c r="F114" s="232"/>
      <c r="G114" s="145"/>
      <c r="H114" s="166"/>
      <c r="I114" s="27"/>
      <c r="J114" s="285"/>
      <c r="K114" s="44"/>
      <c r="L114" s="252"/>
      <c r="M114" s="27"/>
    </row>
    <row r="115" spans="1:14" x14ac:dyDescent="0.2">
      <c r="A115" s="294" t="s">
        <v>15</v>
      </c>
      <c r="B115" s="279"/>
      <c r="C115" s="279"/>
      <c r="D115" s="166"/>
      <c r="E115" s="363"/>
      <c r="F115" s="279"/>
      <c r="G115" s="279"/>
      <c r="H115" s="166"/>
      <c r="I115" s="363"/>
      <c r="J115" s="288"/>
      <c r="K115" s="288"/>
      <c r="L115" s="166"/>
      <c r="M115" s="23"/>
    </row>
    <row r="116" spans="1:14" ht="15.75" x14ac:dyDescent="0.2">
      <c r="A116" s="21" t="s">
        <v>393</v>
      </c>
      <c r="B116" s="232">
        <v>354.43099999999998</v>
      </c>
      <c r="C116" s="232">
        <v>260.63900000000001</v>
      </c>
      <c r="D116" s="166">
        <f t="shared" si="26"/>
        <v>-26.5</v>
      </c>
      <c r="E116" s="27">
        <f>IFERROR(100/'Skjema total MA'!C116*C116,0)</f>
        <v>0.36528343672277575</v>
      </c>
      <c r="F116" s="232"/>
      <c r="G116" s="232"/>
      <c r="H116" s="166"/>
      <c r="I116" s="27"/>
      <c r="J116" s="285">
        <f t="shared" si="27"/>
        <v>354.43099999999998</v>
      </c>
      <c r="K116" s="44">
        <f t="shared" si="27"/>
        <v>260.63900000000001</v>
      </c>
      <c r="L116" s="252">
        <f t="shared" si="28"/>
        <v>-26.5</v>
      </c>
      <c r="M116" s="27">
        <f>IFERROR(100/'Skjema total MA'!I116*K116,0)</f>
        <v>0.34016676847872956</v>
      </c>
    </row>
    <row r="117" spans="1:14" ht="15.75" x14ac:dyDescent="0.2">
      <c r="A117" s="21" t="s">
        <v>394</v>
      </c>
      <c r="B117" s="232"/>
      <c r="C117" s="232"/>
      <c r="D117" s="166"/>
      <c r="E117" s="27"/>
      <c r="F117" s="232">
        <v>91058.561000000002</v>
      </c>
      <c r="G117" s="232">
        <v>161698.533</v>
      </c>
      <c r="H117" s="166">
        <f t="shared" si="29"/>
        <v>77.599999999999994</v>
      </c>
      <c r="I117" s="27">
        <f>IFERROR(100/'Skjema total MA'!F117*G117,0)</f>
        <v>10.002214292102988</v>
      </c>
      <c r="J117" s="285">
        <f t="shared" si="27"/>
        <v>91058.561000000002</v>
      </c>
      <c r="K117" s="44">
        <f t="shared" si="27"/>
        <v>161698.533</v>
      </c>
      <c r="L117" s="252">
        <f t="shared" si="28"/>
        <v>77.599999999999994</v>
      </c>
      <c r="M117" s="27">
        <f>IFERROR(100/'Skjema total MA'!I117*K117,0)</f>
        <v>10.002214292102988</v>
      </c>
    </row>
    <row r="118" spans="1:14" ht="15.75" x14ac:dyDescent="0.2">
      <c r="A118" s="21" t="s">
        <v>392</v>
      </c>
      <c r="B118" s="232"/>
      <c r="C118" s="232"/>
      <c r="D118" s="166"/>
      <c r="E118" s="27"/>
      <c r="F118" s="232"/>
      <c r="G118" s="232"/>
      <c r="H118" s="166"/>
      <c r="I118" s="27"/>
      <c r="J118" s="285"/>
      <c r="K118" s="44"/>
      <c r="L118" s="252"/>
      <c r="M118" s="27"/>
    </row>
    <row r="119" spans="1:14" ht="15.75" x14ac:dyDescent="0.2">
      <c r="A119" s="13" t="s">
        <v>373</v>
      </c>
      <c r="B119" s="306">
        <v>99555.318620000005</v>
      </c>
      <c r="C119" s="159">
        <v>15175.9727</v>
      </c>
      <c r="D119" s="171">
        <f t="shared" si="26"/>
        <v>-84.8</v>
      </c>
      <c r="E119" s="11">
        <f>IFERROR(100/'Skjema total MA'!C119*C119,0)</f>
        <v>5.4213680511916724</v>
      </c>
      <c r="F119" s="306">
        <v>1857408.59</v>
      </c>
      <c r="G119" s="159">
        <v>1125894.277</v>
      </c>
      <c r="H119" s="171">
        <f t="shared" si="29"/>
        <v>-39.4</v>
      </c>
      <c r="I119" s="11">
        <f>IFERROR(100/'Skjema total MA'!F119*G119,0)</f>
        <v>13.903327420360508</v>
      </c>
      <c r="J119" s="307">
        <f t="shared" si="27"/>
        <v>1956963.9086200001</v>
      </c>
      <c r="K119" s="234">
        <f t="shared" si="27"/>
        <v>1141070.2497</v>
      </c>
      <c r="L119" s="371">
        <f t="shared" si="28"/>
        <v>-41.7</v>
      </c>
      <c r="M119" s="11">
        <f>IFERROR(100/'Skjema total MA'!I119*K119,0)</f>
        <v>13.619923330942239</v>
      </c>
    </row>
    <row r="120" spans="1:14" x14ac:dyDescent="0.2">
      <c r="A120" s="21" t="s">
        <v>9</v>
      </c>
      <c r="B120" s="232">
        <v>99555.318620000005</v>
      </c>
      <c r="C120" s="145">
        <v>15175.9727</v>
      </c>
      <c r="D120" s="166">
        <f t="shared" si="26"/>
        <v>-84.8</v>
      </c>
      <c r="E120" s="27">
        <f>IFERROR(100/'Skjema total MA'!C120*C120,0)</f>
        <v>10.255152762182162</v>
      </c>
      <c r="F120" s="232"/>
      <c r="G120" s="145"/>
      <c r="H120" s="166"/>
      <c r="I120" s="27"/>
      <c r="J120" s="285">
        <f t="shared" si="27"/>
        <v>99555.318620000005</v>
      </c>
      <c r="K120" s="44">
        <f t="shared" si="27"/>
        <v>15175.9727</v>
      </c>
      <c r="L120" s="252">
        <f t="shared" si="28"/>
        <v>-84.8</v>
      </c>
      <c r="M120" s="27">
        <f>IFERROR(100/'Skjema total MA'!I120*K120,0)</f>
        <v>10.255152762182162</v>
      </c>
    </row>
    <row r="121" spans="1:14" x14ac:dyDescent="0.2">
      <c r="A121" s="21" t="s">
        <v>10</v>
      </c>
      <c r="B121" s="232"/>
      <c r="C121" s="145"/>
      <c r="D121" s="166"/>
      <c r="E121" s="27"/>
      <c r="F121" s="232">
        <v>1857408.59</v>
      </c>
      <c r="G121" s="145">
        <v>1125894.277</v>
      </c>
      <c r="H121" s="166">
        <f t="shared" si="29"/>
        <v>-39.4</v>
      </c>
      <c r="I121" s="27">
        <f>IFERROR(100/'Skjema total MA'!F121*G121,0)</f>
        <v>13.903327420360508</v>
      </c>
      <c r="J121" s="285">
        <f t="shared" si="27"/>
        <v>1857408.59</v>
      </c>
      <c r="K121" s="44">
        <f t="shared" si="27"/>
        <v>1125894.277</v>
      </c>
      <c r="L121" s="252">
        <f t="shared" si="28"/>
        <v>-39.4</v>
      </c>
      <c r="M121" s="27">
        <f>IFERROR(100/'Skjema total MA'!I121*K121,0)</f>
        <v>13.866519318886452</v>
      </c>
    </row>
    <row r="122" spans="1:14" x14ac:dyDescent="0.2">
      <c r="A122" s="21" t="s">
        <v>26</v>
      </c>
      <c r="B122" s="232"/>
      <c r="C122" s="145"/>
      <c r="D122" s="166"/>
      <c r="E122" s="27"/>
      <c r="F122" s="232"/>
      <c r="G122" s="145"/>
      <c r="H122" s="166"/>
      <c r="I122" s="27"/>
      <c r="J122" s="285"/>
      <c r="K122" s="44"/>
      <c r="L122" s="252"/>
      <c r="M122" s="27"/>
    </row>
    <row r="123" spans="1:14" x14ac:dyDescent="0.2">
      <c r="A123" s="294" t="s">
        <v>14</v>
      </c>
      <c r="B123" s="279"/>
      <c r="C123" s="279"/>
      <c r="D123" s="166"/>
      <c r="E123" s="363"/>
      <c r="F123" s="279"/>
      <c r="G123" s="279"/>
      <c r="H123" s="166"/>
      <c r="I123" s="363"/>
      <c r="J123" s="288"/>
      <c r="K123" s="288"/>
      <c r="L123" s="166"/>
      <c r="M123" s="23"/>
    </row>
    <row r="124" spans="1:14" ht="15.75" x14ac:dyDescent="0.2">
      <c r="A124" s="21" t="s">
        <v>399</v>
      </c>
      <c r="B124" s="232"/>
      <c r="C124" s="232"/>
      <c r="D124" s="166"/>
      <c r="E124" s="27"/>
      <c r="F124" s="232"/>
      <c r="G124" s="232"/>
      <c r="H124" s="166"/>
      <c r="I124" s="27"/>
      <c r="J124" s="285"/>
      <c r="K124" s="44"/>
      <c r="L124" s="252"/>
      <c r="M124" s="27"/>
    </row>
    <row r="125" spans="1:14" ht="15.75" x14ac:dyDescent="0.2">
      <c r="A125" s="21" t="s">
        <v>391</v>
      </c>
      <c r="B125" s="232"/>
      <c r="C125" s="232"/>
      <c r="D125" s="166"/>
      <c r="E125" s="27"/>
      <c r="F125" s="232">
        <v>151073.15700000001</v>
      </c>
      <c r="G125" s="232">
        <v>264912.03000000003</v>
      </c>
      <c r="H125" s="166">
        <f t="shared" si="29"/>
        <v>75.400000000000006</v>
      </c>
      <c r="I125" s="27">
        <f>IFERROR(100/'Skjema total MA'!F125*G125,0)</f>
        <v>15.679939016832734</v>
      </c>
      <c r="J125" s="285">
        <f t="shared" si="27"/>
        <v>151073.15700000001</v>
      </c>
      <c r="K125" s="44">
        <f t="shared" si="27"/>
        <v>264912.03000000003</v>
      </c>
      <c r="L125" s="252">
        <f t="shared" si="28"/>
        <v>75.400000000000006</v>
      </c>
      <c r="M125" s="27">
        <f>IFERROR(100/'Skjema total MA'!I125*K125,0)</f>
        <v>15.6588546218831</v>
      </c>
    </row>
    <row r="126" spans="1:14" ht="15.75" x14ac:dyDescent="0.2">
      <c r="A126" s="10" t="s">
        <v>392</v>
      </c>
      <c r="B126" s="45"/>
      <c r="C126" s="45"/>
      <c r="D126" s="167"/>
      <c r="E126" s="364"/>
      <c r="F126" s="45"/>
      <c r="G126" s="45"/>
      <c r="H126" s="167"/>
      <c r="I126" s="22"/>
      <c r="J126" s="286"/>
      <c r="K126" s="45"/>
      <c r="L126" s="253"/>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95"/>
      <c r="C130" s="695"/>
      <c r="D130" s="695"/>
      <c r="E130" s="297"/>
      <c r="F130" s="695"/>
      <c r="G130" s="695"/>
      <c r="H130" s="695"/>
      <c r="I130" s="297"/>
      <c r="J130" s="695"/>
      <c r="K130" s="695"/>
      <c r="L130" s="695"/>
      <c r="M130" s="297"/>
    </row>
    <row r="131" spans="1:14" s="3" customFormat="1" x14ac:dyDescent="0.2">
      <c r="A131" s="144"/>
      <c r="B131" s="696" t="s">
        <v>0</v>
      </c>
      <c r="C131" s="697"/>
      <c r="D131" s="697"/>
      <c r="E131" s="299"/>
      <c r="F131" s="696" t="s">
        <v>1</v>
      </c>
      <c r="G131" s="697"/>
      <c r="H131" s="697"/>
      <c r="I131" s="302"/>
      <c r="J131" s="696" t="s">
        <v>2</v>
      </c>
      <c r="K131" s="697"/>
      <c r="L131" s="697"/>
      <c r="M131" s="302"/>
      <c r="N131" s="148"/>
    </row>
    <row r="132" spans="1:14" s="3" customFormat="1" x14ac:dyDescent="0.2">
      <c r="A132" s="140"/>
      <c r="B132" s="152" t="s">
        <v>422</v>
      </c>
      <c r="C132" s="152" t="s">
        <v>423</v>
      </c>
      <c r="D132" s="243" t="s">
        <v>3</v>
      </c>
      <c r="E132" s="303" t="s">
        <v>29</v>
      </c>
      <c r="F132" s="152" t="s">
        <v>422</v>
      </c>
      <c r="G132" s="152" t="s">
        <v>423</v>
      </c>
      <c r="H132" s="205" t="s">
        <v>3</v>
      </c>
      <c r="I132" s="162" t="s">
        <v>29</v>
      </c>
      <c r="J132" s="152" t="s">
        <v>422</v>
      </c>
      <c r="K132" s="152" t="s">
        <v>423</v>
      </c>
      <c r="L132" s="244" t="s">
        <v>3</v>
      </c>
      <c r="M132" s="162" t="s">
        <v>29</v>
      </c>
      <c r="N132" s="148"/>
    </row>
    <row r="133" spans="1:14" s="3" customFormat="1" x14ac:dyDescent="0.2">
      <c r="A133" s="666"/>
      <c r="B133" s="156"/>
      <c r="C133" s="156"/>
      <c r="D133" s="244" t="s">
        <v>4</v>
      </c>
      <c r="E133" s="156" t="s">
        <v>30</v>
      </c>
      <c r="F133" s="161"/>
      <c r="G133" s="161"/>
      <c r="H133" s="205" t="s">
        <v>4</v>
      </c>
      <c r="I133" s="156" t="s">
        <v>30</v>
      </c>
      <c r="J133" s="156"/>
      <c r="K133" s="156"/>
      <c r="L133" s="150" t="s">
        <v>4</v>
      </c>
      <c r="M133" s="156" t="s">
        <v>30</v>
      </c>
      <c r="N133" s="148"/>
    </row>
    <row r="134" spans="1:14" s="3" customFormat="1" ht="15.75" x14ac:dyDescent="0.2">
      <c r="A134" s="14" t="s">
        <v>395</v>
      </c>
      <c r="B134" s="234"/>
      <c r="C134" s="307"/>
      <c r="D134" s="347"/>
      <c r="E134" s="11"/>
      <c r="F134" s="314"/>
      <c r="G134" s="315"/>
      <c r="H134" s="374"/>
      <c r="I134" s="24"/>
      <c r="J134" s="316"/>
      <c r="K134" s="316"/>
      <c r="L134" s="370"/>
      <c r="M134" s="11"/>
      <c r="N134" s="148"/>
    </row>
    <row r="135" spans="1:14" s="3" customFormat="1" ht="15.75" x14ac:dyDescent="0.2">
      <c r="A135" s="13" t="s">
        <v>400</v>
      </c>
      <c r="B135" s="234"/>
      <c r="C135" s="307"/>
      <c r="D135" s="171"/>
      <c r="E135" s="11"/>
      <c r="F135" s="234"/>
      <c r="G135" s="307"/>
      <c r="H135" s="375"/>
      <c r="I135" s="24"/>
      <c r="J135" s="306"/>
      <c r="K135" s="306"/>
      <c r="L135" s="371"/>
      <c r="M135" s="11"/>
      <c r="N135" s="148"/>
    </row>
    <row r="136" spans="1:14" s="3" customFormat="1" ht="15.75" x14ac:dyDescent="0.2">
      <c r="A136" s="13" t="s">
        <v>397</v>
      </c>
      <c r="B136" s="234"/>
      <c r="C136" s="307"/>
      <c r="D136" s="171"/>
      <c r="E136" s="11"/>
      <c r="F136" s="234"/>
      <c r="G136" s="307"/>
      <c r="H136" s="375"/>
      <c r="I136" s="24"/>
      <c r="J136" s="306"/>
      <c r="K136" s="306"/>
      <c r="L136" s="371"/>
      <c r="M136" s="11"/>
      <c r="N136" s="148"/>
    </row>
    <row r="137" spans="1:14" s="3" customFormat="1" ht="15.75" x14ac:dyDescent="0.2">
      <c r="A137" s="41" t="s">
        <v>398</v>
      </c>
      <c r="B137" s="274"/>
      <c r="C137" s="313"/>
      <c r="D137" s="169"/>
      <c r="E137" s="9"/>
      <c r="F137" s="274"/>
      <c r="G137" s="313"/>
      <c r="H137" s="376"/>
      <c r="I137" s="36"/>
      <c r="J137" s="312"/>
      <c r="K137" s="312"/>
      <c r="L137" s="372"/>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691" priority="132">
      <formula>kvartal &lt; 4</formula>
    </cfRule>
  </conditionalFormatting>
  <conditionalFormatting sqref="B69">
    <cfRule type="expression" dxfId="690" priority="100">
      <formula>kvartal &lt; 4</formula>
    </cfRule>
  </conditionalFormatting>
  <conditionalFormatting sqref="C69">
    <cfRule type="expression" dxfId="689" priority="99">
      <formula>kvartal &lt; 4</formula>
    </cfRule>
  </conditionalFormatting>
  <conditionalFormatting sqref="B72">
    <cfRule type="expression" dxfId="688" priority="98">
      <formula>kvartal &lt; 4</formula>
    </cfRule>
  </conditionalFormatting>
  <conditionalFormatting sqref="C72">
    <cfRule type="expression" dxfId="687" priority="97">
      <formula>kvartal &lt; 4</formula>
    </cfRule>
  </conditionalFormatting>
  <conditionalFormatting sqref="B80">
    <cfRule type="expression" dxfId="686" priority="96">
      <formula>kvartal &lt; 4</formula>
    </cfRule>
  </conditionalFormatting>
  <conditionalFormatting sqref="C80">
    <cfRule type="expression" dxfId="685" priority="95">
      <formula>kvartal &lt; 4</formula>
    </cfRule>
  </conditionalFormatting>
  <conditionalFormatting sqref="B83">
    <cfRule type="expression" dxfId="684" priority="94">
      <formula>kvartal &lt; 4</formula>
    </cfRule>
  </conditionalFormatting>
  <conditionalFormatting sqref="C83">
    <cfRule type="expression" dxfId="683" priority="93">
      <formula>kvartal &lt; 4</formula>
    </cfRule>
  </conditionalFormatting>
  <conditionalFormatting sqref="B90">
    <cfRule type="expression" dxfId="682" priority="84">
      <formula>kvartal &lt; 4</formula>
    </cfRule>
  </conditionalFormatting>
  <conditionalFormatting sqref="C90">
    <cfRule type="expression" dxfId="681" priority="83">
      <formula>kvartal &lt; 4</formula>
    </cfRule>
  </conditionalFormatting>
  <conditionalFormatting sqref="B93">
    <cfRule type="expression" dxfId="680" priority="82">
      <formula>kvartal &lt; 4</formula>
    </cfRule>
  </conditionalFormatting>
  <conditionalFormatting sqref="C93">
    <cfRule type="expression" dxfId="679" priority="81">
      <formula>kvartal &lt; 4</formula>
    </cfRule>
  </conditionalFormatting>
  <conditionalFormatting sqref="B101">
    <cfRule type="expression" dxfId="678" priority="80">
      <formula>kvartal &lt; 4</formula>
    </cfRule>
  </conditionalFormatting>
  <conditionalFormatting sqref="C101">
    <cfRule type="expression" dxfId="677" priority="79">
      <formula>kvartal &lt; 4</formula>
    </cfRule>
  </conditionalFormatting>
  <conditionalFormatting sqref="B104">
    <cfRule type="expression" dxfId="676" priority="78">
      <formula>kvartal &lt; 4</formula>
    </cfRule>
  </conditionalFormatting>
  <conditionalFormatting sqref="C104">
    <cfRule type="expression" dxfId="675" priority="77">
      <formula>kvartal &lt; 4</formula>
    </cfRule>
  </conditionalFormatting>
  <conditionalFormatting sqref="B115">
    <cfRule type="expression" dxfId="674" priority="76">
      <formula>kvartal &lt; 4</formula>
    </cfRule>
  </conditionalFormatting>
  <conditionalFormatting sqref="C115">
    <cfRule type="expression" dxfId="673" priority="75">
      <formula>kvartal &lt; 4</formula>
    </cfRule>
  </conditionalFormatting>
  <conditionalFormatting sqref="B123">
    <cfRule type="expression" dxfId="672" priority="74">
      <formula>kvartal &lt; 4</formula>
    </cfRule>
  </conditionalFormatting>
  <conditionalFormatting sqref="C123">
    <cfRule type="expression" dxfId="671" priority="73">
      <formula>kvartal &lt; 4</formula>
    </cfRule>
  </conditionalFormatting>
  <conditionalFormatting sqref="F70">
    <cfRule type="expression" dxfId="670" priority="72">
      <formula>kvartal &lt; 4</formula>
    </cfRule>
  </conditionalFormatting>
  <conditionalFormatting sqref="G70">
    <cfRule type="expression" dxfId="669" priority="71">
      <formula>kvartal &lt; 4</formula>
    </cfRule>
  </conditionalFormatting>
  <conditionalFormatting sqref="F71:G71">
    <cfRule type="expression" dxfId="668" priority="70">
      <formula>kvartal &lt; 4</formula>
    </cfRule>
  </conditionalFormatting>
  <conditionalFormatting sqref="F73:G74">
    <cfRule type="expression" dxfId="667" priority="69">
      <formula>kvartal &lt; 4</formula>
    </cfRule>
  </conditionalFormatting>
  <conditionalFormatting sqref="F81:G82">
    <cfRule type="expression" dxfId="666" priority="68">
      <formula>kvartal &lt; 4</formula>
    </cfRule>
  </conditionalFormatting>
  <conditionalFormatting sqref="F84:G85">
    <cfRule type="expression" dxfId="665" priority="67">
      <formula>kvartal &lt; 4</formula>
    </cfRule>
  </conditionalFormatting>
  <conditionalFormatting sqref="F91:G92">
    <cfRule type="expression" dxfId="664" priority="62">
      <formula>kvartal &lt; 4</formula>
    </cfRule>
  </conditionalFormatting>
  <conditionalFormatting sqref="F94:G95">
    <cfRule type="expression" dxfId="663" priority="61">
      <formula>kvartal &lt; 4</formula>
    </cfRule>
  </conditionalFormatting>
  <conditionalFormatting sqref="F102:G103">
    <cfRule type="expression" dxfId="662" priority="60">
      <formula>kvartal &lt; 4</formula>
    </cfRule>
  </conditionalFormatting>
  <conditionalFormatting sqref="F105:G106">
    <cfRule type="expression" dxfId="661" priority="59">
      <formula>kvartal &lt; 4</formula>
    </cfRule>
  </conditionalFormatting>
  <conditionalFormatting sqref="F115">
    <cfRule type="expression" dxfId="660" priority="58">
      <formula>kvartal &lt; 4</formula>
    </cfRule>
  </conditionalFormatting>
  <conditionalFormatting sqref="G115">
    <cfRule type="expression" dxfId="659" priority="57">
      <formula>kvartal &lt; 4</formula>
    </cfRule>
  </conditionalFormatting>
  <conditionalFormatting sqref="F123:G123">
    <cfRule type="expression" dxfId="658" priority="56">
      <formula>kvartal &lt; 4</formula>
    </cfRule>
  </conditionalFormatting>
  <conditionalFormatting sqref="F69:G69">
    <cfRule type="expression" dxfId="657" priority="55">
      <formula>kvartal &lt; 4</formula>
    </cfRule>
  </conditionalFormatting>
  <conditionalFormatting sqref="F72:G72">
    <cfRule type="expression" dxfId="656" priority="54">
      <formula>kvartal &lt; 4</formula>
    </cfRule>
  </conditionalFormatting>
  <conditionalFormatting sqref="F80:G80">
    <cfRule type="expression" dxfId="655" priority="53">
      <formula>kvartal &lt; 4</formula>
    </cfRule>
  </conditionalFormatting>
  <conditionalFormatting sqref="F83:G83">
    <cfRule type="expression" dxfId="654" priority="52">
      <formula>kvartal &lt; 4</formula>
    </cfRule>
  </conditionalFormatting>
  <conditionalFormatting sqref="F90:G90">
    <cfRule type="expression" dxfId="653" priority="46">
      <formula>kvartal &lt; 4</formula>
    </cfRule>
  </conditionalFormatting>
  <conditionalFormatting sqref="F93">
    <cfRule type="expression" dxfId="652" priority="45">
      <formula>kvartal &lt; 4</formula>
    </cfRule>
  </conditionalFormatting>
  <conditionalFormatting sqref="G93">
    <cfRule type="expression" dxfId="651" priority="44">
      <formula>kvartal &lt; 4</formula>
    </cfRule>
  </conditionalFormatting>
  <conditionalFormatting sqref="F101">
    <cfRule type="expression" dxfId="650" priority="43">
      <formula>kvartal &lt; 4</formula>
    </cfRule>
  </conditionalFormatting>
  <conditionalFormatting sqref="G101">
    <cfRule type="expression" dxfId="649" priority="42">
      <formula>kvartal &lt; 4</formula>
    </cfRule>
  </conditionalFormatting>
  <conditionalFormatting sqref="G104">
    <cfRule type="expression" dxfId="648" priority="41">
      <formula>kvartal &lt; 4</formula>
    </cfRule>
  </conditionalFormatting>
  <conditionalFormatting sqref="F104">
    <cfRule type="expression" dxfId="647" priority="40">
      <formula>kvartal &lt; 4</formula>
    </cfRule>
  </conditionalFormatting>
  <conditionalFormatting sqref="J69:K73">
    <cfRule type="expression" dxfId="646" priority="39">
      <formula>kvartal &lt; 4</formula>
    </cfRule>
  </conditionalFormatting>
  <conditionalFormatting sqref="J74:K74">
    <cfRule type="expression" dxfId="645" priority="38">
      <formula>kvartal &lt; 4</formula>
    </cfRule>
  </conditionalFormatting>
  <conditionalFormatting sqref="J80:K85">
    <cfRule type="expression" dxfId="644" priority="37">
      <formula>kvartal &lt; 4</formula>
    </cfRule>
  </conditionalFormatting>
  <conditionalFormatting sqref="J90:K95">
    <cfRule type="expression" dxfId="643" priority="34">
      <formula>kvartal &lt; 4</formula>
    </cfRule>
  </conditionalFormatting>
  <conditionalFormatting sqref="J101:K106">
    <cfRule type="expression" dxfId="642" priority="33">
      <formula>kvartal &lt; 4</formula>
    </cfRule>
  </conditionalFormatting>
  <conditionalFormatting sqref="J115:K115">
    <cfRule type="expression" dxfId="641" priority="32">
      <formula>kvartal &lt; 4</formula>
    </cfRule>
  </conditionalFormatting>
  <conditionalFormatting sqref="J123:K123">
    <cfRule type="expression" dxfId="640" priority="31">
      <formula>kvartal &lt; 4</formula>
    </cfRule>
  </conditionalFormatting>
  <conditionalFormatting sqref="A50:A52">
    <cfRule type="expression" dxfId="639" priority="12">
      <formula>kvartal &lt; 4</formula>
    </cfRule>
  </conditionalFormatting>
  <conditionalFormatting sqref="A69:A74">
    <cfRule type="expression" dxfId="638" priority="10">
      <formula>kvartal &lt; 4</formula>
    </cfRule>
  </conditionalFormatting>
  <conditionalFormatting sqref="A80:A85">
    <cfRule type="expression" dxfId="637" priority="9">
      <formula>kvartal &lt; 4</formula>
    </cfRule>
  </conditionalFormatting>
  <conditionalFormatting sqref="A90:A95">
    <cfRule type="expression" dxfId="636" priority="6">
      <formula>kvartal &lt; 4</formula>
    </cfRule>
  </conditionalFormatting>
  <conditionalFormatting sqref="A101:A106">
    <cfRule type="expression" dxfId="635" priority="5">
      <formula>kvartal &lt; 4</formula>
    </cfRule>
  </conditionalFormatting>
  <conditionalFormatting sqref="A115">
    <cfRule type="expression" dxfId="634" priority="4">
      <formula>kvartal &lt; 4</formula>
    </cfRule>
  </conditionalFormatting>
  <conditionalFormatting sqref="A123">
    <cfRule type="expression" dxfId="633" priority="3">
      <formula>kvartal &lt; 4</formula>
    </cfRule>
  </conditionalFormatting>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64"/>
      <c r="C1" s="246" t="s">
        <v>100</v>
      </c>
      <c r="D1" s="26"/>
      <c r="E1" s="26"/>
      <c r="F1" s="26"/>
      <c r="G1" s="26"/>
      <c r="H1" s="26"/>
      <c r="I1" s="26"/>
      <c r="J1" s="26"/>
      <c r="K1" s="26"/>
      <c r="L1" s="26"/>
      <c r="M1" s="26"/>
    </row>
    <row r="2" spans="1:14" ht="15.75" x14ac:dyDescent="0.25">
      <c r="A2" s="165" t="s">
        <v>28</v>
      </c>
      <c r="B2" s="700"/>
      <c r="C2" s="700"/>
      <c r="D2" s="700"/>
      <c r="E2" s="297"/>
      <c r="F2" s="700"/>
      <c r="G2" s="700"/>
      <c r="H2" s="700"/>
      <c r="I2" s="297"/>
      <c r="J2" s="700"/>
      <c r="K2" s="700"/>
      <c r="L2" s="700"/>
      <c r="M2" s="297"/>
    </row>
    <row r="3" spans="1:14" ht="15.75" x14ac:dyDescent="0.25">
      <c r="A3" s="163"/>
      <c r="B3" s="297"/>
      <c r="C3" s="297"/>
      <c r="D3" s="297"/>
      <c r="E3" s="297"/>
      <c r="F3" s="297"/>
      <c r="G3" s="297"/>
      <c r="H3" s="297"/>
      <c r="I3" s="297"/>
      <c r="J3" s="297"/>
      <c r="K3" s="297"/>
      <c r="L3" s="297"/>
      <c r="M3" s="297"/>
    </row>
    <row r="4" spans="1:14" x14ac:dyDescent="0.2">
      <c r="A4" s="144"/>
      <c r="B4" s="696" t="s">
        <v>0</v>
      </c>
      <c r="C4" s="697"/>
      <c r="D4" s="697"/>
      <c r="E4" s="299"/>
      <c r="F4" s="696" t="s">
        <v>1</v>
      </c>
      <c r="G4" s="697"/>
      <c r="H4" s="697"/>
      <c r="I4" s="302"/>
      <c r="J4" s="696" t="s">
        <v>2</v>
      </c>
      <c r="K4" s="697"/>
      <c r="L4" s="697"/>
      <c r="M4" s="302"/>
    </row>
    <row r="5" spans="1:14" x14ac:dyDescent="0.2">
      <c r="A5" s="158"/>
      <c r="B5" s="152" t="s">
        <v>422</v>
      </c>
      <c r="C5" s="152" t="s">
        <v>423</v>
      </c>
      <c r="D5" s="243" t="s">
        <v>3</v>
      </c>
      <c r="E5" s="303" t="s">
        <v>29</v>
      </c>
      <c r="F5" s="152" t="s">
        <v>422</v>
      </c>
      <c r="G5" s="152" t="s">
        <v>423</v>
      </c>
      <c r="H5" s="243" t="s">
        <v>3</v>
      </c>
      <c r="I5" s="162" t="s">
        <v>29</v>
      </c>
      <c r="J5" s="152" t="s">
        <v>422</v>
      </c>
      <c r="K5" s="152" t="s">
        <v>423</v>
      </c>
      <c r="L5" s="243" t="s">
        <v>3</v>
      </c>
      <c r="M5" s="162" t="s">
        <v>29</v>
      </c>
    </row>
    <row r="6" spans="1:14" x14ac:dyDescent="0.2">
      <c r="A6" s="665"/>
      <c r="B6" s="156"/>
      <c r="C6" s="156"/>
      <c r="D6" s="244" t="s">
        <v>4</v>
      </c>
      <c r="E6" s="156" t="s">
        <v>30</v>
      </c>
      <c r="F6" s="161"/>
      <c r="G6" s="161"/>
      <c r="H6" s="243" t="s">
        <v>4</v>
      </c>
      <c r="I6" s="156" t="s">
        <v>30</v>
      </c>
      <c r="J6" s="161"/>
      <c r="K6" s="161"/>
      <c r="L6" s="243" t="s">
        <v>4</v>
      </c>
      <c r="M6" s="156" t="s">
        <v>30</v>
      </c>
    </row>
    <row r="7" spans="1:14" ht="15.75" x14ac:dyDescent="0.2">
      <c r="A7" s="14" t="s">
        <v>23</v>
      </c>
      <c r="B7" s="304"/>
      <c r="C7" s="305"/>
      <c r="D7" s="347"/>
      <c r="E7" s="11"/>
      <c r="F7" s="304"/>
      <c r="G7" s="305"/>
      <c r="H7" s="347"/>
      <c r="I7" s="160"/>
      <c r="J7" s="306"/>
      <c r="K7" s="307"/>
      <c r="L7" s="370"/>
      <c r="M7" s="11"/>
    </row>
    <row r="8" spans="1:14" ht="15.75" x14ac:dyDescent="0.2">
      <c r="A8" s="21" t="s">
        <v>25</v>
      </c>
      <c r="B8" s="279"/>
      <c r="C8" s="280"/>
      <c r="D8" s="166"/>
      <c r="E8" s="27"/>
      <c r="F8" s="283"/>
      <c r="G8" s="284"/>
      <c r="H8" s="166"/>
      <c r="I8" s="175"/>
      <c r="J8" s="232"/>
      <c r="K8" s="285"/>
      <c r="L8" s="252"/>
      <c r="M8" s="27"/>
    </row>
    <row r="9" spans="1:14" ht="15.75" x14ac:dyDescent="0.2">
      <c r="A9" s="21" t="s">
        <v>24</v>
      </c>
      <c r="B9" s="279"/>
      <c r="C9" s="280"/>
      <c r="D9" s="166"/>
      <c r="E9" s="27"/>
      <c r="F9" s="283"/>
      <c r="G9" s="284"/>
      <c r="H9" s="166"/>
      <c r="I9" s="175"/>
      <c r="J9" s="232"/>
      <c r="K9" s="285"/>
      <c r="L9" s="252"/>
      <c r="M9" s="27"/>
    </row>
    <row r="10" spans="1:14" ht="15.75" x14ac:dyDescent="0.2">
      <c r="A10" s="13" t="s">
        <v>371</v>
      </c>
      <c r="B10" s="308"/>
      <c r="C10" s="309"/>
      <c r="D10" s="171"/>
      <c r="E10" s="11"/>
      <c r="F10" s="308"/>
      <c r="G10" s="309"/>
      <c r="H10" s="171"/>
      <c r="I10" s="160"/>
      <c r="J10" s="306"/>
      <c r="K10" s="307"/>
      <c r="L10" s="371"/>
      <c r="M10" s="11"/>
    </row>
    <row r="11" spans="1:14" s="43" customFormat="1" ht="15.75" x14ac:dyDescent="0.2">
      <c r="A11" s="13" t="s">
        <v>372</v>
      </c>
      <c r="B11" s="308"/>
      <c r="C11" s="309"/>
      <c r="D11" s="171"/>
      <c r="E11" s="11"/>
      <c r="F11" s="308"/>
      <c r="G11" s="309"/>
      <c r="H11" s="171"/>
      <c r="I11" s="160"/>
      <c r="J11" s="306"/>
      <c r="K11" s="307"/>
      <c r="L11" s="371"/>
      <c r="M11" s="11"/>
      <c r="N11" s="143"/>
    </row>
    <row r="12" spans="1:14" s="43" customFormat="1" ht="15.75" x14ac:dyDescent="0.2">
      <c r="A12" s="41" t="s">
        <v>373</v>
      </c>
      <c r="B12" s="310"/>
      <c r="C12" s="311"/>
      <c r="D12" s="169"/>
      <c r="E12" s="36"/>
      <c r="F12" s="310"/>
      <c r="G12" s="311"/>
      <c r="H12" s="169"/>
      <c r="I12" s="169"/>
      <c r="J12" s="312"/>
      <c r="K12" s="313"/>
      <c r="L12" s="372"/>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95"/>
      <c r="C18" s="695"/>
      <c r="D18" s="695"/>
      <c r="E18" s="297"/>
      <c r="F18" s="695"/>
      <c r="G18" s="695"/>
      <c r="H18" s="695"/>
      <c r="I18" s="297"/>
      <c r="J18" s="695"/>
      <c r="K18" s="695"/>
      <c r="L18" s="695"/>
      <c r="M18" s="297"/>
    </row>
    <row r="19" spans="1:14" x14ac:dyDescent="0.2">
      <c r="A19" s="144"/>
      <c r="B19" s="696" t="s">
        <v>0</v>
      </c>
      <c r="C19" s="697"/>
      <c r="D19" s="697"/>
      <c r="E19" s="299"/>
      <c r="F19" s="696" t="s">
        <v>1</v>
      </c>
      <c r="G19" s="697"/>
      <c r="H19" s="697"/>
      <c r="I19" s="302"/>
      <c r="J19" s="696" t="s">
        <v>2</v>
      </c>
      <c r="K19" s="697"/>
      <c r="L19" s="697"/>
      <c r="M19" s="302"/>
    </row>
    <row r="20" spans="1:14" x14ac:dyDescent="0.2">
      <c r="A20" s="140" t="s">
        <v>5</v>
      </c>
      <c r="B20" s="152" t="s">
        <v>422</v>
      </c>
      <c r="C20" s="152" t="s">
        <v>423</v>
      </c>
      <c r="D20" s="162" t="s">
        <v>3</v>
      </c>
      <c r="E20" s="303" t="s">
        <v>29</v>
      </c>
      <c r="F20" s="152" t="s">
        <v>422</v>
      </c>
      <c r="G20" s="152" t="s">
        <v>423</v>
      </c>
      <c r="H20" s="162" t="s">
        <v>3</v>
      </c>
      <c r="I20" s="162" t="s">
        <v>29</v>
      </c>
      <c r="J20" s="152" t="s">
        <v>422</v>
      </c>
      <c r="K20" s="152" t="s">
        <v>423</v>
      </c>
      <c r="L20" s="162" t="s">
        <v>3</v>
      </c>
      <c r="M20" s="162" t="s">
        <v>29</v>
      </c>
    </row>
    <row r="21" spans="1:14" x14ac:dyDescent="0.2">
      <c r="A21" s="666"/>
      <c r="B21" s="156"/>
      <c r="C21" s="156"/>
      <c r="D21" s="244" t="s">
        <v>4</v>
      </c>
      <c r="E21" s="156" t="s">
        <v>30</v>
      </c>
      <c r="F21" s="161"/>
      <c r="G21" s="161"/>
      <c r="H21" s="243" t="s">
        <v>4</v>
      </c>
      <c r="I21" s="156" t="s">
        <v>30</v>
      </c>
      <c r="J21" s="161"/>
      <c r="K21" s="161"/>
      <c r="L21" s="156" t="s">
        <v>4</v>
      </c>
      <c r="M21" s="156" t="s">
        <v>30</v>
      </c>
    </row>
    <row r="22" spans="1:14" ht="15.75" x14ac:dyDescent="0.2">
      <c r="A22" s="14" t="s">
        <v>23</v>
      </c>
      <c r="B22" s="308"/>
      <c r="C22" s="308"/>
      <c r="D22" s="347"/>
      <c r="E22" s="11"/>
      <c r="F22" s="316"/>
      <c r="G22" s="316"/>
      <c r="H22" s="347"/>
      <c r="I22" s="11"/>
      <c r="J22" s="314"/>
      <c r="K22" s="314"/>
      <c r="L22" s="370"/>
      <c r="M22" s="24"/>
    </row>
    <row r="23" spans="1:14" ht="15.75" x14ac:dyDescent="0.2">
      <c r="A23" s="551" t="s">
        <v>374</v>
      </c>
      <c r="B23" s="279"/>
      <c r="C23" s="279"/>
      <c r="D23" s="166"/>
      <c r="E23" s="11"/>
      <c r="F23" s="288"/>
      <c r="G23" s="288"/>
      <c r="H23" s="166"/>
      <c r="I23" s="363"/>
      <c r="J23" s="288"/>
      <c r="K23" s="288"/>
      <c r="L23" s="166"/>
      <c r="M23" s="23"/>
    </row>
    <row r="24" spans="1:14" ht="15.75" x14ac:dyDescent="0.2">
      <c r="A24" s="551" t="s">
        <v>375</v>
      </c>
      <c r="B24" s="279"/>
      <c r="C24" s="279"/>
      <c r="D24" s="166"/>
      <c r="E24" s="11"/>
      <c r="F24" s="288"/>
      <c r="G24" s="288"/>
      <c r="H24" s="166"/>
      <c r="I24" s="363"/>
      <c r="J24" s="288"/>
      <c r="K24" s="288"/>
      <c r="L24" s="166"/>
      <c r="M24" s="23"/>
    </row>
    <row r="25" spans="1:14" ht="15.75" x14ac:dyDescent="0.2">
      <c r="A25" s="551" t="s">
        <v>376</v>
      </c>
      <c r="B25" s="279"/>
      <c r="C25" s="279"/>
      <c r="D25" s="166"/>
      <c r="E25" s="11"/>
      <c r="F25" s="288"/>
      <c r="G25" s="288"/>
      <c r="H25" s="166"/>
      <c r="I25" s="363"/>
      <c r="J25" s="288"/>
      <c r="K25" s="288"/>
      <c r="L25" s="166"/>
      <c r="M25" s="23"/>
    </row>
    <row r="26" spans="1:14" ht="15.75" x14ac:dyDescent="0.2">
      <c r="A26" s="551" t="s">
        <v>377</v>
      </c>
      <c r="B26" s="279"/>
      <c r="C26" s="279"/>
      <c r="D26" s="166"/>
      <c r="E26" s="11"/>
      <c r="F26" s="288"/>
      <c r="G26" s="288"/>
      <c r="H26" s="166"/>
      <c r="I26" s="363"/>
      <c r="J26" s="288"/>
      <c r="K26" s="288"/>
      <c r="L26" s="166"/>
      <c r="M26" s="23"/>
    </row>
    <row r="27" spans="1:14" x14ac:dyDescent="0.2">
      <c r="A27" s="551" t="s">
        <v>11</v>
      </c>
      <c r="B27" s="279"/>
      <c r="C27" s="279"/>
      <c r="D27" s="166"/>
      <c r="E27" s="11"/>
      <c r="F27" s="288"/>
      <c r="G27" s="288"/>
      <c r="H27" s="166"/>
      <c r="I27" s="363"/>
      <c r="J27" s="288"/>
      <c r="K27" s="288"/>
      <c r="L27" s="166"/>
      <c r="M27" s="23"/>
    </row>
    <row r="28" spans="1:14" ht="15.75" x14ac:dyDescent="0.2">
      <c r="A28" s="49" t="s">
        <v>282</v>
      </c>
      <c r="B28" s="44"/>
      <c r="C28" s="285"/>
      <c r="D28" s="166"/>
      <c r="E28" s="11"/>
      <c r="F28" s="232"/>
      <c r="G28" s="285"/>
      <c r="H28" s="166"/>
      <c r="I28" s="27"/>
      <c r="J28" s="44"/>
      <c r="K28" s="44"/>
      <c r="L28" s="252"/>
      <c r="M28" s="23"/>
    </row>
    <row r="29" spans="1:14" s="3" customFormat="1" ht="15.75" x14ac:dyDescent="0.2">
      <c r="A29" s="13" t="s">
        <v>371</v>
      </c>
      <c r="B29" s="234"/>
      <c r="C29" s="234"/>
      <c r="D29" s="171"/>
      <c r="E29" s="11"/>
      <c r="F29" s="306"/>
      <c r="G29" s="306"/>
      <c r="H29" s="171"/>
      <c r="I29" s="11"/>
      <c r="J29" s="234"/>
      <c r="K29" s="234"/>
      <c r="L29" s="371"/>
      <c r="M29" s="24"/>
      <c r="N29" s="148"/>
    </row>
    <row r="30" spans="1:14" s="3" customFormat="1" ht="15.75" x14ac:dyDescent="0.2">
      <c r="A30" s="551" t="s">
        <v>374</v>
      </c>
      <c r="B30" s="279"/>
      <c r="C30" s="279"/>
      <c r="D30" s="166"/>
      <c r="E30" s="11"/>
      <c r="F30" s="288"/>
      <c r="G30" s="288"/>
      <c r="H30" s="166"/>
      <c r="I30" s="363"/>
      <c r="J30" s="288"/>
      <c r="K30" s="288"/>
      <c r="L30" s="166"/>
      <c r="M30" s="23"/>
      <c r="N30" s="148"/>
    </row>
    <row r="31" spans="1:14" s="3" customFormat="1" ht="15.75" x14ac:dyDescent="0.2">
      <c r="A31" s="551" t="s">
        <v>375</v>
      </c>
      <c r="B31" s="279"/>
      <c r="C31" s="279"/>
      <c r="D31" s="166"/>
      <c r="E31" s="11"/>
      <c r="F31" s="288"/>
      <c r="G31" s="288"/>
      <c r="H31" s="166"/>
      <c r="I31" s="363"/>
      <c r="J31" s="288"/>
      <c r="K31" s="288"/>
      <c r="L31" s="166"/>
      <c r="M31" s="23"/>
      <c r="N31" s="148"/>
    </row>
    <row r="32" spans="1:14" ht="15.75" x14ac:dyDescent="0.2">
      <c r="A32" s="551" t="s">
        <v>376</v>
      </c>
      <c r="B32" s="279"/>
      <c r="C32" s="279"/>
      <c r="D32" s="166"/>
      <c r="E32" s="11"/>
      <c r="F32" s="288"/>
      <c r="G32" s="288"/>
      <c r="H32" s="166"/>
      <c r="I32" s="363"/>
      <c r="J32" s="288"/>
      <c r="K32" s="288"/>
      <c r="L32" s="166"/>
      <c r="M32" s="23"/>
    </row>
    <row r="33" spans="1:14" ht="15.75" x14ac:dyDescent="0.2">
      <c r="A33" s="551" t="s">
        <v>377</v>
      </c>
      <c r="B33" s="279"/>
      <c r="C33" s="279"/>
      <c r="D33" s="166"/>
      <c r="E33" s="11"/>
      <c r="F33" s="288"/>
      <c r="G33" s="288"/>
      <c r="H33" s="166"/>
      <c r="I33" s="363"/>
      <c r="J33" s="288"/>
      <c r="K33" s="288"/>
      <c r="L33" s="166"/>
      <c r="M33" s="23"/>
    </row>
    <row r="34" spans="1:14" ht="15.75" x14ac:dyDescent="0.2">
      <c r="A34" s="13" t="s">
        <v>372</v>
      </c>
      <c r="B34" s="234"/>
      <c r="C34" s="307"/>
      <c r="D34" s="171"/>
      <c r="E34" s="11"/>
      <c r="F34" s="306"/>
      <c r="G34" s="307"/>
      <c r="H34" s="171"/>
      <c r="I34" s="11"/>
      <c r="J34" s="234"/>
      <c r="K34" s="234"/>
      <c r="L34" s="371"/>
      <c r="M34" s="24"/>
    </row>
    <row r="35" spans="1:14" ht="15.75" x14ac:dyDescent="0.2">
      <c r="A35" s="13" t="s">
        <v>373</v>
      </c>
      <c r="B35" s="234"/>
      <c r="C35" s="307"/>
      <c r="D35" s="171"/>
      <c r="E35" s="11"/>
      <c r="F35" s="306"/>
      <c r="G35" s="307"/>
      <c r="H35" s="171"/>
      <c r="I35" s="11"/>
      <c r="J35" s="234"/>
      <c r="K35" s="234"/>
      <c r="L35" s="371"/>
      <c r="M35" s="24"/>
    </row>
    <row r="36" spans="1:14" ht="15.75" x14ac:dyDescent="0.2">
      <c r="A36" s="12" t="s">
        <v>290</v>
      </c>
      <c r="B36" s="234"/>
      <c r="C36" s="307"/>
      <c r="D36" s="171"/>
      <c r="E36" s="11"/>
      <c r="F36" s="317"/>
      <c r="G36" s="318"/>
      <c r="H36" s="171"/>
      <c r="I36" s="377"/>
      <c r="J36" s="234"/>
      <c r="K36" s="234"/>
      <c r="L36" s="371"/>
      <c r="M36" s="24"/>
    </row>
    <row r="37" spans="1:14" ht="15.75" x14ac:dyDescent="0.2">
      <c r="A37" s="12" t="s">
        <v>379</v>
      </c>
      <c r="B37" s="234"/>
      <c r="C37" s="307"/>
      <c r="D37" s="171"/>
      <c r="E37" s="11"/>
      <c r="F37" s="317"/>
      <c r="G37" s="319"/>
      <c r="H37" s="171"/>
      <c r="I37" s="377"/>
      <c r="J37" s="234"/>
      <c r="K37" s="234"/>
      <c r="L37" s="371"/>
      <c r="M37" s="24"/>
    </row>
    <row r="38" spans="1:14" ht="15.75" x14ac:dyDescent="0.2">
      <c r="A38" s="12" t="s">
        <v>380</v>
      </c>
      <c r="B38" s="234"/>
      <c r="C38" s="307"/>
      <c r="D38" s="171"/>
      <c r="E38" s="24"/>
      <c r="F38" s="317"/>
      <c r="G38" s="318"/>
      <c r="H38" s="171"/>
      <c r="I38" s="377"/>
      <c r="J38" s="234"/>
      <c r="K38" s="234"/>
      <c r="L38" s="371"/>
      <c r="M38" s="24"/>
    </row>
    <row r="39" spans="1:14" ht="15.75" x14ac:dyDescent="0.2">
      <c r="A39" s="18" t="s">
        <v>381</v>
      </c>
      <c r="B39" s="274"/>
      <c r="C39" s="313"/>
      <c r="D39" s="169"/>
      <c r="E39" s="36"/>
      <c r="F39" s="320"/>
      <c r="G39" s="321"/>
      <c r="H39" s="169"/>
      <c r="I39" s="36"/>
      <c r="J39" s="234"/>
      <c r="K39" s="234"/>
      <c r="L39" s="372"/>
      <c r="M39" s="36"/>
    </row>
    <row r="40" spans="1:14" ht="15.75" x14ac:dyDescent="0.25">
      <c r="A40" s="47"/>
      <c r="B40" s="251"/>
      <c r="C40" s="251"/>
      <c r="D40" s="699"/>
      <c r="E40" s="699"/>
      <c r="F40" s="699"/>
      <c r="G40" s="699"/>
      <c r="H40" s="699"/>
      <c r="I40" s="699"/>
      <c r="J40" s="699"/>
      <c r="K40" s="699"/>
      <c r="L40" s="699"/>
      <c r="M40" s="300"/>
    </row>
    <row r="41" spans="1:14" x14ac:dyDescent="0.2">
      <c r="A41" s="155"/>
    </row>
    <row r="42" spans="1:14" ht="15.75" x14ac:dyDescent="0.25">
      <c r="A42" s="147" t="s">
        <v>279</v>
      </c>
      <c r="B42" s="700"/>
      <c r="C42" s="700"/>
      <c r="D42" s="700"/>
      <c r="E42" s="297"/>
      <c r="F42" s="701"/>
      <c r="G42" s="701"/>
      <c r="H42" s="701"/>
      <c r="I42" s="300"/>
      <c r="J42" s="701"/>
      <c r="K42" s="701"/>
      <c r="L42" s="701"/>
      <c r="M42" s="300"/>
    </row>
    <row r="43" spans="1:14" ht="15.75" x14ac:dyDescent="0.25">
      <c r="A43" s="163"/>
      <c r="B43" s="301"/>
      <c r="C43" s="301"/>
      <c r="D43" s="301"/>
      <c r="E43" s="301"/>
      <c r="F43" s="300"/>
      <c r="G43" s="300"/>
      <c r="H43" s="300"/>
      <c r="I43" s="300"/>
      <c r="J43" s="300"/>
      <c r="K43" s="300"/>
      <c r="L43" s="300"/>
      <c r="M43" s="300"/>
    </row>
    <row r="44" spans="1:14" ht="15.75" x14ac:dyDescent="0.25">
      <c r="A44" s="245"/>
      <c r="B44" s="696" t="s">
        <v>0</v>
      </c>
      <c r="C44" s="697"/>
      <c r="D44" s="697"/>
      <c r="E44" s="241"/>
      <c r="F44" s="300"/>
      <c r="G44" s="300"/>
      <c r="H44" s="300"/>
      <c r="I44" s="300"/>
      <c r="J44" s="300"/>
      <c r="K44" s="300"/>
      <c r="L44" s="300"/>
      <c r="M44" s="300"/>
    </row>
    <row r="45" spans="1:14" s="3" customFormat="1" x14ac:dyDescent="0.2">
      <c r="A45" s="140"/>
      <c r="B45" s="152" t="s">
        <v>422</v>
      </c>
      <c r="C45" s="152" t="s">
        <v>423</v>
      </c>
      <c r="D45" s="162" t="s">
        <v>3</v>
      </c>
      <c r="E45" s="162" t="s">
        <v>29</v>
      </c>
      <c r="F45" s="174"/>
      <c r="G45" s="174"/>
      <c r="H45" s="173"/>
      <c r="I45" s="173"/>
      <c r="J45" s="174"/>
      <c r="K45" s="174"/>
      <c r="L45" s="173"/>
      <c r="M45" s="173"/>
      <c r="N45" s="148"/>
    </row>
    <row r="46" spans="1:14" s="3" customFormat="1" x14ac:dyDescent="0.2">
      <c r="A46" s="666"/>
      <c r="B46" s="242"/>
      <c r="C46" s="242"/>
      <c r="D46" s="243" t="s">
        <v>4</v>
      </c>
      <c r="E46" s="156" t="s">
        <v>30</v>
      </c>
      <c r="F46" s="173"/>
      <c r="G46" s="173"/>
      <c r="H46" s="173"/>
      <c r="I46" s="173"/>
      <c r="J46" s="173"/>
      <c r="K46" s="173"/>
      <c r="L46" s="173"/>
      <c r="M46" s="173"/>
      <c r="N46" s="148"/>
    </row>
    <row r="47" spans="1:14" s="3" customFormat="1" ht="15.75" x14ac:dyDescent="0.2">
      <c r="A47" s="14" t="s">
        <v>23</v>
      </c>
      <c r="B47" s="308">
        <v>15976</v>
      </c>
      <c r="C47" s="309">
        <v>15369</v>
      </c>
      <c r="D47" s="370">
        <f t="shared" ref="D47:D48" si="0">IF(B47=0, "    ---- ", IF(ABS(ROUND(100/B47*C47-100,1))&lt;999,ROUND(100/B47*C47-100,1),IF(ROUND(100/B47*C47-100,1)&gt;999,999,-999)))</f>
        <v>-3.8</v>
      </c>
      <c r="E47" s="11">
        <f>IFERROR(100/'Skjema total MA'!C47*C47,0)</f>
        <v>0.4760407641764412</v>
      </c>
      <c r="F47" s="145"/>
      <c r="G47" s="33"/>
      <c r="H47" s="159"/>
      <c r="I47" s="159"/>
      <c r="J47" s="37"/>
      <c r="K47" s="37"/>
      <c r="L47" s="159"/>
      <c r="M47" s="159"/>
      <c r="N47" s="148"/>
    </row>
    <row r="48" spans="1:14" s="3" customFormat="1" ht="15.75" x14ac:dyDescent="0.2">
      <c r="A48" s="38" t="s">
        <v>382</v>
      </c>
      <c r="B48" s="279">
        <v>15976</v>
      </c>
      <c r="C48" s="280">
        <v>15369</v>
      </c>
      <c r="D48" s="252">
        <f t="shared" si="0"/>
        <v>-3.8</v>
      </c>
      <c r="E48" s="27">
        <f>IFERROR(100/'Skjema total MA'!C48*C48,0)</f>
        <v>0.84583616661481109</v>
      </c>
      <c r="F48" s="145"/>
      <c r="G48" s="33"/>
      <c r="H48" s="145"/>
      <c r="I48" s="145"/>
      <c r="J48" s="33"/>
      <c r="K48" s="33"/>
      <c r="L48" s="159"/>
      <c r="M48" s="159"/>
      <c r="N48" s="148"/>
    </row>
    <row r="49" spans="1:14" s="3" customFormat="1" ht="15.75" x14ac:dyDescent="0.2">
      <c r="A49" s="38" t="s">
        <v>383</v>
      </c>
      <c r="B49" s="44"/>
      <c r="C49" s="285"/>
      <c r="D49" s="252"/>
      <c r="E49" s="27"/>
      <c r="F49" s="145"/>
      <c r="G49" s="33"/>
      <c r="H49" s="145"/>
      <c r="I49" s="145"/>
      <c r="J49" s="37"/>
      <c r="K49" s="37"/>
      <c r="L49" s="159"/>
      <c r="M49" s="159"/>
      <c r="N49" s="148"/>
    </row>
    <row r="50" spans="1:14" s="3" customFormat="1" x14ac:dyDescent="0.2">
      <c r="A50" s="294" t="s">
        <v>6</v>
      </c>
      <c r="B50" s="288"/>
      <c r="C50" s="289"/>
      <c r="D50" s="252"/>
      <c r="E50" s="23"/>
      <c r="F50" s="145"/>
      <c r="G50" s="33"/>
      <c r="H50" s="145"/>
      <c r="I50" s="145"/>
      <c r="J50" s="33"/>
      <c r="K50" s="33"/>
      <c r="L50" s="159"/>
      <c r="M50" s="159"/>
      <c r="N50" s="148"/>
    </row>
    <row r="51" spans="1:14" s="3" customFormat="1" x14ac:dyDescent="0.2">
      <c r="A51" s="294" t="s">
        <v>7</v>
      </c>
      <c r="B51" s="288"/>
      <c r="C51" s="289"/>
      <c r="D51" s="252"/>
      <c r="E51" s="23"/>
      <c r="F51" s="145"/>
      <c r="G51" s="33"/>
      <c r="H51" s="145"/>
      <c r="I51" s="145"/>
      <c r="J51" s="33"/>
      <c r="K51" s="33"/>
      <c r="L51" s="159"/>
      <c r="M51" s="159"/>
      <c r="N51" s="148"/>
    </row>
    <row r="52" spans="1:14" s="3" customFormat="1" x14ac:dyDescent="0.2">
      <c r="A52" s="294" t="s">
        <v>8</v>
      </c>
      <c r="B52" s="288"/>
      <c r="C52" s="289"/>
      <c r="D52" s="252"/>
      <c r="E52" s="23"/>
      <c r="F52" s="145"/>
      <c r="G52" s="33"/>
      <c r="H52" s="145"/>
      <c r="I52" s="145"/>
      <c r="J52" s="33"/>
      <c r="K52" s="33"/>
      <c r="L52" s="159"/>
      <c r="M52" s="159"/>
      <c r="N52" s="148"/>
    </row>
    <row r="53" spans="1:14" s="3" customFormat="1" ht="15.75" x14ac:dyDescent="0.2">
      <c r="A53" s="39" t="s">
        <v>384</v>
      </c>
      <c r="B53" s="308"/>
      <c r="C53" s="309"/>
      <c r="D53" s="371"/>
      <c r="E53" s="11"/>
      <c r="F53" s="145"/>
      <c r="G53" s="33"/>
      <c r="H53" s="145"/>
      <c r="I53" s="145"/>
      <c r="J53" s="33"/>
      <c r="K53" s="33"/>
      <c r="L53" s="159"/>
      <c r="M53" s="159"/>
      <c r="N53" s="148"/>
    </row>
    <row r="54" spans="1:14" s="3" customFormat="1" ht="15.75" x14ac:dyDescent="0.2">
      <c r="A54" s="38" t="s">
        <v>382</v>
      </c>
      <c r="B54" s="279"/>
      <c r="C54" s="280"/>
      <c r="D54" s="252"/>
      <c r="E54" s="27"/>
      <c r="F54" s="145"/>
      <c r="G54" s="33"/>
      <c r="H54" s="145"/>
      <c r="I54" s="145"/>
      <c r="J54" s="33"/>
      <c r="K54" s="33"/>
      <c r="L54" s="159"/>
      <c r="M54" s="159"/>
      <c r="N54" s="148"/>
    </row>
    <row r="55" spans="1:14" s="3" customFormat="1" ht="15.75" x14ac:dyDescent="0.2">
      <c r="A55" s="38" t="s">
        <v>383</v>
      </c>
      <c r="B55" s="279"/>
      <c r="C55" s="280"/>
      <c r="D55" s="252"/>
      <c r="E55" s="27"/>
      <c r="F55" s="145"/>
      <c r="G55" s="33"/>
      <c r="H55" s="145"/>
      <c r="I55" s="145"/>
      <c r="J55" s="33"/>
      <c r="K55" s="33"/>
      <c r="L55" s="159"/>
      <c r="M55" s="159"/>
      <c r="N55" s="148"/>
    </row>
    <row r="56" spans="1:14" s="3" customFormat="1" ht="15.75" x14ac:dyDescent="0.2">
      <c r="A56" s="39" t="s">
        <v>385</v>
      </c>
      <c r="B56" s="308"/>
      <c r="C56" s="309"/>
      <c r="D56" s="371"/>
      <c r="E56" s="11"/>
      <c r="F56" s="145"/>
      <c r="G56" s="33"/>
      <c r="H56" s="145"/>
      <c r="I56" s="145"/>
      <c r="J56" s="33"/>
      <c r="K56" s="33"/>
      <c r="L56" s="159"/>
      <c r="M56" s="159"/>
      <c r="N56" s="148"/>
    </row>
    <row r="57" spans="1:14" s="3" customFormat="1" ht="15.75" x14ac:dyDescent="0.2">
      <c r="A57" s="38" t="s">
        <v>382</v>
      </c>
      <c r="B57" s="279"/>
      <c r="C57" s="280"/>
      <c r="D57" s="252"/>
      <c r="E57" s="27"/>
      <c r="F57" s="145"/>
      <c r="G57" s="33"/>
      <c r="H57" s="145"/>
      <c r="I57" s="145"/>
      <c r="J57" s="33"/>
      <c r="K57" s="33"/>
      <c r="L57" s="159"/>
      <c r="M57" s="159"/>
      <c r="N57" s="148"/>
    </row>
    <row r="58" spans="1:14" s="3" customFormat="1" ht="15.75" x14ac:dyDescent="0.2">
      <c r="A58" s="46" t="s">
        <v>383</v>
      </c>
      <c r="B58" s="281"/>
      <c r="C58" s="282"/>
      <c r="D58" s="253"/>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95"/>
      <c r="C62" s="695"/>
      <c r="D62" s="695"/>
      <c r="E62" s="297"/>
      <c r="F62" s="695"/>
      <c r="G62" s="695"/>
      <c r="H62" s="695"/>
      <c r="I62" s="297"/>
      <c r="J62" s="695"/>
      <c r="K62" s="695"/>
      <c r="L62" s="695"/>
      <c r="M62" s="297"/>
    </row>
    <row r="63" spans="1:14" x14ac:dyDescent="0.2">
      <c r="A63" s="144"/>
      <c r="B63" s="696" t="s">
        <v>0</v>
      </c>
      <c r="C63" s="697"/>
      <c r="D63" s="698"/>
      <c r="E63" s="298"/>
      <c r="F63" s="697" t="s">
        <v>1</v>
      </c>
      <c r="G63" s="697"/>
      <c r="H63" s="697"/>
      <c r="I63" s="302"/>
      <c r="J63" s="696" t="s">
        <v>2</v>
      </c>
      <c r="K63" s="697"/>
      <c r="L63" s="697"/>
      <c r="M63" s="302"/>
    </row>
    <row r="64" spans="1:14" x14ac:dyDescent="0.2">
      <c r="A64" s="140"/>
      <c r="B64" s="152" t="s">
        <v>422</v>
      </c>
      <c r="C64" s="152" t="s">
        <v>423</v>
      </c>
      <c r="D64" s="243" t="s">
        <v>3</v>
      </c>
      <c r="E64" s="303" t="s">
        <v>29</v>
      </c>
      <c r="F64" s="152" t="s">
        <v>422</v>
      </c>
      <c r="G64" s="152" t="s">
        <v>423</v>
      </c>
      <c r="H64" s="243" t="s">
        <v>3</v>
      </c>
      <c r="I64" s="303" t="s">
        <v>29</v>
      </c>
      <c r="J64" s="152" t="s">
        <v>422</v>
      </c>
      <c r="K64" s="152" t="s">
        <v>423</v>
      </c>
      <c r="L64" s="243" t="s">
        <v>3</v>
      </c>
      <c r="M64" s="162" t="s">
        <v>29</v>
      </c>
    </row>
    <row r="65" spans="1:14" x14ac:dyDescent="0.2">
      <c r="A65" s="666"/>
      <c r="B65" s="156"/>
      <c r="C65" s="156"/>
      <c r="D65" s="244" t="s">
        <v>4</v>
      </c>
      <c r="E65" s="156" t="s">
        <v>30</v>
      </c>
      <c r="F65" s="161"/>
      <c r="G65" s="161"/>
      <c r="H65" s="243" t="s">
        <v>4</v>
      </c>
      <c r="I65" s="156" t="s">
        <v>30</v>
      </c>
      <c r="J65" s="161"/>
      <c r="K65" s="205"/>
      <c r="L65" s="156" t="s">
        <v>4</v>
      </c>
      <c r="M65" s="156" t="s">
        <v>30</v>
      </c>
    </row>
    <row r="66" spans="1:14" ht="15.75" x14ac:dyDescent="0.2">
      <c r="A66" s="14" t="s">
        <v>23</v>
      </c>
      <c r="B66" s="350"/>
      <c r="C66" s="350"/>
      <c r="D66" s="347"/>
      <c r="E66" s="11"/>
      <c r="F66" s="349"/>
      <c r="G66" s="349"/>
      <c r="H66" s="347"/>
      <c r="I66" s="11"/>
      <c r="J66" s="307"/>
      <c r="K66" s="314"/>
      <c r="L66" s="371"/>
      <c r="M66" s="11"/>
    </row>
    <row r="67" spans="1:14" x14ac:dyDescent="0.2">
      <c r="A67" s="365" t="s">
        <v>9</v>
      </c>
      <c r="B67" s="44"/>
      <c r="C67" s="145"/>
      <c r="D67" s="166"/>
      <c r="E67" s="27"/>
      <c r="F67" s="232"/>
      <c r="G67" s="145"/>
      <c r="H67" s="166"/>
      <c r="I67" s="27"/>
      <c r="J67" s="285"/>
      <c r="K67" s="44"/>
      <c r="L67" s="252"/>
      <c r="M67" s="27"/>
    </row>
    <row r="68" spans="1:14" x14ac:dyDescent="0.2">
      <c r="A68" s="21" t="s">
        <v>10</v>
      </c>
      <c r="B68" s="290"/>
      <c r="C68" s="291"/>
      <c r="D68" s="166"/>
      <c r="E68" s="27"/>
      <c r="F68" s="290"/>
      <c r="G68" s="291"/>
      <c r="H68" s="166"/>
      <c r="I68" s="27"/>
      <c r="J68" s="285"/>
      <c r="K68" s="44"/>
      <c r="L68" s="252"/>
      <c r="M68" s="27"/>
    </row>
    <row r="69" spans="1:14" ht="15.75" x14ac:dyDescent="0.2">
      <c r="A69" s="294" t="s">
        <v>386</v>
      </c>
      <c r="B69" s="279"/>
      <c r="C69" s="279"/>
      <c r="D69" s="166"/>
      <c r="E69" s="363"/>
      <c r="F69" s="279"/>
      <c r="G69" s="279"/>
      <c r="H69" s="166"/>
      <c r="I69" s="363"/>
      <c r="J69" s="288"/>
      <c r="K69" s="288"/>
      <c r="L69" s="166"/>
      <c r="M69" s="23"/>
    </row>
    <row r="70" spans="1:14" x14ac:dyDescent="0.2">
      <c r="A70" s="294" t="s">
        <v>12</v>
      </c>
      <c r="B70" s="292"/>
      <c r="C70" s="293"/>
      <c r="D70" s="166"/>
      <c r="E70" s="363"/>
      <c r="F70" s="279"/>
      <c r="G70" s="279"/>
      <c r="H70" s="166"/>
      <c r="I70" s="363"/>
      <c r="J70" s="288"/>
      <c r="K70" s="288"/>
      <c r="L70" s="166"/>
      <c r="M70" s="23"/>
    </row>
    <row r="71" spans="1:14" x14ac:dyDescent="0.2">
      <c r="A71" s="294" t="s">
        <v>13</v>
      </c>
      <c r="B71" s="233"/>
      <c r="C71" s="287"/>
      <c r="D71" s="166"/>
      <c r="E71" s="363"/>
      <c r="F71" s="279"/>
      <c r="G71" s="279"/>
      <c r="H71" s="166"/>
      <c r="I71" s="363"/>
      <c r="J71" s="288"/>
      <c r="K71" s="288"/>
      <c r="L71" s="166"/>
      <c r="M71" s="23"/>
    </row>
    <row r="72" spans="1:14" ht="15.75" x14ac:dyDescent="0.2">
      <c r="A72" s="294" t="s">
        <v>387</v>
      </c>
      <c r="B72" s="279"/>
      <c r="C72" s="279"/>
      <c r="D72" s="166"/>
      <c r="E72" s="363"/>
      <c r="F72" s="279"/>
      <c r="G72" s="279"/>
      <c r="H72" s="166"/>
      <c r="I72" s="363"/>
      <c r="J72" s="288"/>
      <c r="K72" s="288"/>
      <c r="L72" s="166"/>
      <c r="M72" s="23"/>
    </row>
    <row r="73" spans="1:14" x14ac:dyDescent="0.2">
      <c r="A73" s="294" t="s">
        <v>12</v>
      </c>
      <c r="B73" s="233"/>
      <c r="C73" s="287"/>
      <c r="D73" s="166"/>
      <c r="E73" s="363"/>
      <c r="F73" s="279"/>
      <c r="G73" s="279"/>
      <c r="H73" s="166"/>
      <c r="I73" s="363"/>
      <c r="J73" s="288"/>
      <c r="K73" s="288"/>
      <c r="L73" s="166"/>
      <c r="M73" s="23"/>
    </row>
    <row r="74" spans="1:14" s="3" customFormat="1" x14ac:dyDescent="0.2">
      <c r="A74" s="294" t="s">
        <v>13</v>
      </c>
      <c r="B74" s="233"/>
      <c r="C74" s="287"/>
      <c r="D74" s="166"/>
      <c r="E74" s="363"/>
      <c r="F74" s="279"/>
      <c r="G74" s="279"/>
      <c r="H74" s="166"/>
      <c r="I74" s="363"/>
      <c r="J74" s="288"/>
      <c r="K74" s="288"/>
      <c r="L74" s="166"/>
      <c r="M74" s="23"/>
      <c r="N74" s="148"/>
    </row>
    <row r="75" spans="1:14" s="3" customFormat="1" x14ac:dyDescent="0.2">
      <c r="A75" s="21" t="s">
        <v>356</v>
      </c>
      <c r="B75" s="232"/>
      <c r="C75" s="145"/>
      <c r="D75" s="166"/>
      <c r="E75" s="27"/>
      <c r="F75" s="232"/>
      <c r="G75" s="145"/>
      <c r="H75" s="166"/>
      <c r="I75" s="27"/>
      <c r="J75" s="285"/>
      <c r="K75" s="44"/>
      <c r="L75" s="252"/>
      <c r="M75" s="27"/>
      <c r="N75" s="148"/>
    </row>
    <row r="76" spans="1:14" s="3" customFormat="1" x14ac:dyDescent="0.2">
      <c r="A76" s="21" t="s">
        <v>355</v>
      </c>
      <c r="B76" s="232"/>
      <c r="C76" s="145"/>
      <c r="D76" s="166"/>
      <c r="E76" s="27"/>
      <c r="F76" s="232"/>
      <c r="G76" s="145"/>
      <c r="H76" s="166"/>
      <c r="I76" s="27"/>
      <c r="J76" s="285"/>
      <c r="K76" s="44"/>
      <c r="L76" s="252"/>
      <c r="M76" s="27"/>
      <c r="N76" s="148"/>
    </row>
    <row r="77" spans="1:14" ht="15.75" x14ac:dyDescent="0.2">
      <c r="A77" s="21" t="s">
        <v>388</v>
      </c>
      <c r="B77" s="232"/>
      <c r="C77" s="232"/>
      <c r="D77" s="166"/>
      <c r="E77" s="27"/>
      <c r="F77" s="232"/>
      <c r="G77" s="145"/>
      <c r="H77" s="166"/>
      <c r="I77" s="27"/>
      <c r="J77" s="285"/>
      <c r="K77" s="44"/>
      <c r="L77" s="252"/>
      <c r="M77" s="27"/>
    </row>
    <row r="78" spans="1:14" x14ac:dyDescent="0.2">
      <c r="A78" s="21" t="s">
        <v>9</v>
      </c>
      <c r="B78" s="232"/>
      <c r="C78" s="145"/>
      <c r="D78" s="166"/>
      <c r="E78" s="27"/>
      <c r="F78" s="232"/>
      <c r="G78" s="145"/>
      <c r="H78" s="166"/>
      <c r="I78" s="27"/>
      <c r="J78" s="285"/>
      <c r="K78" s="44"/>
      <c r="L78" s="252"/>
      <c r="M78" s="27"/>
    </row>
    <row r="79" spans="1:14" x14ac:dyDescent="0.2">
      <c r="A79" s="21" t="s">
        <v>10</v>
      </c>
      <c r="B79" s="290"/>
      <c r="C79" s="291"/>
      <c r="D79" s="166"/>
      <c r="E79" s="27"/>
      <c r="F79" s="290"/>
      <c r="G79" s="291"/>
      <c r="H79" s="166"/>
      <c r="I79" s="27"/>
      <c r="J79" s="285"/>
      <c r="K79" s="44"/>
      <c r="L79" s="252"/>
      <c r="M79" s="27"/>
    </row>
    <row r="80" spans="1:14" ht="15.75" x14ac:dyDescent="0.2">
      <c r="A80" s="294" t="s">
        <v>386</v>
      </c>
      <c r="B80" s="279"/>
      <c r="C80" s="279"/>
      <c r="D80" s="166"/>
      <c r="E80" s="363"/>
      <c r="F80" s="279"/>
      <c r="G80" s="279"/>
      <c r="H80" s="166"/>
      <c r="I80" s="363"/>
      <c r="J80" s="288"/>
      <c r="K80" s="288"/>
      <c r="L80" s="166"/>
      <c r="M80" s="23"/>
    </row>
    <row r="81" spans="1:13" x14ac:dyDescent="0.2">
      <c r="A81" s="294" t="s">
        <v>12</v>
      </c>
      <c r="B81" s="233"/>
      <c r="C81" s="287"/>
      <c r="D81" s="166"/>
      <c r="E81" s="363"/>
      <c r="F81" s="279"/>
      <c r="G81" s="279"/>
      <c r="H81" s="166"/>
      <c r="I81" s="363"/>
      <c r="J81" s="288"/>
      <c r="K81" s="288"/>
      <c r="L81" s="166"/>
      <c r="M81" s="23"/>
    </row>
    <row r="82" spans="1:13" x14ac:dyDescent="0.2">
      <c r="A82" s="294" t="s">
        <v>13</v>
      </c>
      <c r="B82" s="233"/>
      <c r="C82" s="287"/>
      <c r="D82" s="166"/>
      <c r="E82" s="363"/>
      <c r="F82" s="279"/>
      <c r="G82" s="279"/>
      <c r="H82" s="166"/>
      <c r="I82" s="363"/>
      <c r="J82" s="288"/>
      <c r="K82" s="288"/>
      <c r="L82" s="166"/>
      <c r="M82" s="23"/>
    </row>
    <row r="83" spans="1:13" ht="15.75" x14ac:dyDescent="0.2">
      <c r="A83" s="294" t="s">
        <v>387</v>
      </c>
      <c r="B83" s="279"/>
      <c r="C83" s="279"/>
      <c r="D83" s="166"/>
      <c r="E83" s="363"/>
      <c r="F83" s="279"/>
      <c r="G83" s="279"/>
      <c r="H83" s="166"/>
      <c r="I83" s="363"/>
      <c r="J83" s="288"/>
      <c r="K83" s="288"/>
      <c r="L83" s="166"/>
      <c r="M83" s="23"/>
    </row>
    <row r="84" spans="1:13" x14ac:dyDescent="0.2">
      <c r="A84" s="294" t="s">
        <v>12</v>
      </c>
      <c r="B84" s="233"/>
      <c r="C84" s="287"/>
      <c r="D84" s="166"/>
      <c r="E84" s="363"/>
      <c r="F84" s="279"/>
      <c r="G84" s="279"/>
      <c r="H84" s="166"/>
      <c r="I84" s="363"/>
      <c r="J84" s="288"/>
      <c r="K84" s="288"/>
      <c r="L84" s="166"/>
      <c r="M84" s="23"/>
    </row>
    <row r="85" spans="1:13" x14ac:dyDescent="0.2">
      <c r="A85" s="294" t="s">
        <v>13</v>
      </c>
      <c r="B85" s="233"/>
      <c r="C85" s="287"/>
      <c r="D85" s="166"/>
      <c r="E85" s="363"/>
      <c r="F85" s="279"/>
      <c r="G85" s="279"/>
      <c r="H85" s="166"/>
      <c r="I85" s="363"/>
      <c r="J85" s="288"/>
      <c r="K85" s="288"/>
      <c r="L85" s="166"/>
      <c r="M85" s="23"/>
    </row>
    <row r="86" spans="1:13" ht="15.75" x14ac:dyDescent="0.2">
      <c r="A86" s="21" t="s">
        <v>389</v>
      </c>
      <c r="B86" s="232"/>
      <c r="C86" s="145"/>
      <c r="D86" s="166"/>
      <c r="E86" s="27"/>
      <c r="F86" s="232"/>
      <c r="G86" s="145"/>
      <c r="H86" s="166"/>
      <c r="I86" s="27"/>
      <c r="J86" s="285"/>
      <c r="K86" s="44"/>
      <c r="L86" s="252"/>
      <c r="M86" s="27"/>
    </row>
    <row r="87" spans="1:13" ht="15.75" x14ac:dyDescent="0.2">
      <c r="A87" s="13" t="s">
        <v>371</v>
      </c>
      <c r="B87" s="350"/>
      <c r="C87" s="350"/>
      <c r="D87" s="171"/>
      <c r="E87" s="11"/>
      <c r="F87" s="349"/>
      <c r="G87" s="349"/>
      <c r="H87" s="171"/>
      <c r="I87" s="11"/>
      <c r="J87" s="307"/>
      <c r="K87" s="234"/>
      <c r="L87" s="371"/>
      <c r="M87" s="11"/>
    </row>
    <row r="88" spans="1:13" x14ac:dyDescent="0.2">
      <c r="A88" s="21" t="s">
        <v>9</v>
      </c>
      <c r="B88" s="232"/>
      <c r="C88" s="145"/>
      <c r="D88" s="166"/>
      <c r="E88" s="27"/>
      <c r="F88" s="232"/>
      <c r="G88" s="145"/>
      <c r="H88" s="166"/>
      <c r="I88" s="27"/>
      <c r="J88" s="285"/>
      <c r="K88" s="44"/>
      <c r="L88" s="252"/>
      <c r="M88" s="27"/>
    </row>
    <row r="89" spans="1:13" x14ac:dyDescent="0.2">
      <c r="A89" s="21" t="s">
        <v>10</v>
      </c>
      <c r="B89" s="232"/>
      <c r="C89" s="145"/>
      <c r="D89" s="166"/>
      <c r="E89" s="27"/>
      <c r="F89" s="232"/>
      <c r="G89" s="145"/>
      <c r="H89" s="166"/>
      <c r="I89" s="27"/>
      <c r="J89" s="285"/>
      <c r="K89" s="44"/>
      <c r="L89" s="252"/>
      <c r="M89" s="27"/>
    </row>
    <row r="90" spans="1:13" ht="15.75" x14ac:dyDescent="0.2">
      <c r="A90" s="294" t="s">
        <v>386</v>
      </c>
      <c r="B90" s="279"/>
      <c r="C90" s="279"/>
      <c r="D90" s="166"/>
      <c r="E90" s="363"/>
      <c r="F90" s="279"/>
      <c r="G90" s="279"/>
      <c r="H90" s="166"/>
      <c r="I90" s="363"/>
      <c r="J90" s="288"/>
      <c r="K90" s="288"/>
      <c r="L90" s="166"/>
      <c r="M90" s="23"/>
    </row>
    <row r="91" spans="1:13" x14ac:dyDescent="0.2">
      <c r="A91" s="294" t="s">
        <v>12</v>
      </c>
      <c r="B91" s="233"/>
      <c r="C91" s="287"/>
      <c r="D91" s="166"/>
      <c r="E91" s="363"/>
      <c r="F91" s="279"/>
      <c r="G91" s="279"/>
      <c r="H91" s="166"/>
      <c r="I91" s="363"/>
      <c r="J91" s="288"/>
      <c r="K91" s="288"/>
      <c r="L91" s="166"/>
      <c r="M91" s="23"/>
    </row>
    <row r="92" spans="1:13" x14ac:dyDescent="0.2">
      <c r="A92" s="294" t="s">
        <v>13</v>
      </c>
      <c r="B92" s="233"/>
      <c r="C92" s="287"/>
      <c r="D92" s="166"/>
      <c r="E92" s="363"/>
      <c r="F92" s="279"/>
      <c r="G92" s="279"/>
      <c r="H92" s="166"/>
      <c r="I92" s="363"/>
      <c r="J92" s="288"/>
      <c r="K92" s="288"/>
      <c r="L92" s="166"/>
      <c r="M92" s="23"/>
    </row>
    <row r="93" spans="1:13" ht="15.75" x14ac:dyDescent="0.2">
      <c r="A93" s="294" t="s">
        <v>387</v>
      </c>
      <c r="B93" s="279"/>
      <c r="C93" s="279"/>
      <c r="D93" s="166"/>
      <c r="E93" s="363"/>
      <c r="F93" s="279"/>
      <c r="G93" s="279"/>
      <c r="H93" s="166"/>
      <c r="I93" s="363"/>
      <c r="J93" s="288"/>
      <c r="K93" s="288"/>
      <c r="L93" s="166"/>
      <c r="M93" s="23"/>
    </row>
    <row r="94" spans="1:13" x14ac:dyDescent="0.2">
      <c r="A94" s="294" t="s">
        <v>12</v>
      </c>
      <c r="B94" s="233"/>
      <c r="C94" s="287"/>
      <c r="D94" s="166"/>
      <c r="E94" s="363"/>
      <c r="F94" s="279"/>
      <c r="G94" s="279"/>
      <c r="H94" s="166"/>
      <c r="I94" s="363"/>
      <c r="J94" s="288"/>
      <c r="K94" s="288"/>
      <c r="L94" s="166"/>
      <c r="M94" s="23"/>
    </row>
    <row r="95" spans="1:13" x14ac:dyDescent="0.2">
      <c r="A95" s="294" t="s">
        <v>13</v>
      </c>
      <c r="B95" s="233"/>
      <c r="C95" s="287"/>
      <c r="D95" s="166"/>
      <c r="E95" s="363"/>
      <c r="F95" s="279"/>
      <c r="G95" s="279"/>
      <c r="H95" s="166"/>
      <c r="I95" s="363"/>
      <c r="J95" s="288"/>
      <c r="K95" s="288"/>
      <c r="L95" s="166"/>
      <c r="M95" s="23"/>
    </row>
    <row r="96" spans="1:13" x14ac:dyDescent="0.2">
      <c r="A96" s="21" t="s">
        <v>354</v>
      </c>
      <c r="B96" s="232"/>
      <c r="C96" s="145"/>
      <c r="D96" s="166"/>
      <c r="E96" s="27"/>
      <c r="F96" s="232"/>
      <c r="G96" s="145"/>
      <c r="H96" s="166"/>
      <c r="I96" s="27"/>
      <c r="J96" s="285"/>
      <c r="K96" s="44"/>
      <c r="L96" s="252"/>
      <c r="M96" s="27"/>
    </row>
    <row r="97" spans="1:13" x14ac:dyDescent="0.2">
      <c r="A97" s="21" t="s">
        <v>353</v>
      </c>
      <c r="B97" s="232"/>
      <c r="C97" s="145"/>
      <c r="D97" s="166"/>
      <c r="E97" s="27"/>
      <c r="F97" s="232"/>
      <c r="G97" s="145"/>
      <c r="H97" s="166"/>
      <c r="I97" s="27"/>
      <c r="J97" s="285"/>
      <c r="K97" s="44"/>
      <c r="L97" s="252"/>
      <c r="M97" s="27"/>
    </row>
    <row r="98" spans="1:13" ht="15.75" x14ac:dyDescent="0.2">
      <c r="A98" s="21" t="s">
        <v>388</v>
      </c>
      <c r="B98" s="232"/>
      <c r="C98" s="232"/>
      <c r="D98" s="166"/>
      <c r="E98" s="27"/>
      <c r="F98" s="290"/>
      <c r="G98" s="290"/>
      <c r="H98" s="166"/>
      <c r="I98" s="27"/>
      <c r="J98" s="285"/>
      <c r="K98" s="44"/>
      <c r="L98" s="252"/>
      <c r="M98" s="27"/>
    </row>
    <row r="99" spans="1:13" x14ac:dyDescent="0.2">
      <c r="A99" s="21" t="s">
        <v>9</v>
      </c>
      <c r="B99" s="290"/>
      <c r="C99" s="291"/>
      <c r="D99" s="166"/>
      <c r="E99" s="27"/>
      <c r="F99" s="232"/>
      <c r="G99" s="145"/>
      <c r="H99" s="166"/>
      <c r="I99" s="27"/>
      <c r="J99" s="285"/>
      <c r="K99" s="44"/>
      <c r="L99" s="252"/>
      <c r="M99" s="27"/>
    </row>
    <row r="100" spans="1:13" x14ac:dyDescent="0.2">
      <c r="A100" s="21" t="s">
        <v>10</v>
      </c>
      <c r="B100" s="290"/>
      <c r="C100" s="291"/>
      <c r="D100" s="166"/>
      <c r="E100" s="27"/>
      <c r="F100" s="232"/>
      <c r="G100" s="232"/>
      <c r="H100" s="166"/>
      <c r="I100" s="27"/>
      <c r="J100" s="285"/>
      <c r="K100" s="44"/>
      <c r="L100" s="252"/>
      <c r="M100" s="27"/>
    </row>
    <row r="101" spans="1:13" ht="15.75" x14ac:dyDescent="0.2">
      <c r="A101" s="294" t="s">
        <v>386</v>
      </c>
      <c r="B101" s="279"/>
      <c r="C101" s="279"/>
      <c r="D101" s="166"/>
      <c r="E101" s="363"/>
      <c r="F101" s="279"/>
      <c r="G101" s="279"/>
      <c r="H101" s="166"/>
      <c r="I101" s="363"/>
      <c r="J101" s="288"/>
      <c r="K101" s="288"/>
      <c r="L101" s="166"/>
      <c r="M101" s="23"/>
    </row>
    <row r="102" spans="1:13" x14ac:dyDescent="0.2">
      <c r="A102" s="294" t="s">
        <v>12</v>
      </c>
      <c r="B102" s="233"/>
      <c r="C102" s="287"/>
      <c r="D102" s="166"/>
      <c r="E102" s="363"/>
      <c r="F102" s="279"/>
      <c r="G102" s="279"/>
      <c r="H102" s="166"/>
      <c r="I102" s="363"/>
      <c r="J102" s="288"/>
      <c r="K102" s="288"/>
      <c r="L102" s="166"/>
      <c r="M102" s="23"/>
    </row>
    <row r="103" spans="1:13" x14ac:dyDescent="0.2">
      <c r="A103" s="294" t="s">
        <v>13</v>
      </c>
      <c r="B103" s="233"/>
      <c r="C103" s="287"/>
      <c r="D103" s="166"/>
      <c r="E103" s="363"/>
      <c r="F103" s="279"/>
      <c r="G103" s="279"/>
      <c r="H103" s="166"/>
      <c r="I103" s="363"/>
      <c r="J103" s="288"/>
      <c r="K103" s="288"/>
      <c r="L103" s="166"/>
      <c r="M103" s="23"/>
    </row>
    <row r="104" spans="1:13" ht="15.75" x14ac:dyDescent="0.2">
      <c r="A104" s="294" t="s">
        <v>387</v>
      </c>
      <c r="B104" s="279"/>
      <c r="C104" s="279"/>
      <c r="D104" s="166"/>
      <c r="E104" s="363"/>
      <c r="F104" s="279"/>
      <c r="G104" s="279"/>
      <c r="H104" s="166"/>
      <c r="I104" s="363"/>
      <c r="J104" s="288"/>
      <c r="K104" s="288"/>
      <c r="L104" s="166"/>
      <c r="M104" s="23"/>
    </row>
    <row r="105" spans="1:13" x14ac:dyDescent="0.2">
      <c r="A105" s="294" t="s">
        <v>12</v>
      </c>
      <c r="B105" s="233"/>
      <c r="C105" s="287"/>
      <c r="D105" s="166"/>
      <c r="E105" s="363"/>
      <c r="F105" s="279"/>
      <c r="G105" s="279"/>
      <c r="H105" s="166"/>
      <c r="I105" s="363"/>
      <c r="J105" s="288"/>
      <c r="K105" s="288"/>
      <c r="L105" s="166"/>
      <c r="M105" s="23"/>
    </row>
    <row r="106" spans="1:13" x14ac:dyDescent="0.2">
      <c r="A106" s="294" t="s">
        <v>13</v>
      </c>
      <c r="B106" s="233"/>
      <c r="C106" s="287"/>
      <c r="D106" s="166"/>
      <c r="E106" s="363"/>
      <c r="F106" s="279"/>
      <c r="G106" s="279"/>
      <c r="H106" s="166"/>
      <c r="I106" s="363"/>
      <c r="J106" s="288"/>
      <c r="K106" s="288"/>
      <c r="L106" s="166"/>
      <c r="M106" s="23"/>
    </row>
    <row r="107" spans="1:13" ht="15.75" x14ac:dyDescent="0.2">
      <c r="A107" s="21" t="s">
        <v>389</v>
      </c>
      <c r="B107" s="232"/>
      <c r="C107" s="145"/>
      <c r="D107" s="166"/>
      <c r="E107" s="27"/>
      <c r="F107" s="232"/>
      <c r="G107" s="145"/>
      <c r="H107" s="166"/>
      <c r="I107" s="27"/>
      <c r="J107" s="285"/>
      <c r="K107" s="44"/>
      <c r="L107" s="252"/>
      <c r="M107" s="27"/>
    </row>
    <row r="108" spans="1:13" ht="15.75" x14ac:dyDescent="0.2">
      <c r="A108" s="21" t="s">
        <v>390</v>
      </c>
      <c r="B108" s="232"/>
      <c r="C108" s="232"/>
      <c r="D108" s="166"/>
      <c r="E108" s="27"/>
      <c r="F108" s="232"/>
      <c r="G108" s="232"/>
      <c r="H108" s="166"/>
      <c r="I108" s="27"/>
      <c r="J108" s="285"/>
      <c r="K108" s="44"/>
      <c r="L108" s="252"/>
      <c r="M108" s="27"/>
    </row>
    <row r="109" spans="1:13" ht="15.75" x14ac:dyDescent="0.2">
      <c r="A109" s="21" t="s">
        <v>391</v>
      </c>
      <c r="B109" s="232"/>
      <c r="C109" s="232"/>
      <c r="D109" s="166"/>
      <c r="E109" s="27"/>
      <c r="F109" s="232"/>
      <c r="G109" s="232"/>
      <c r="H109" s="166"/>
      <c r="I109" s="27"/>
      <c r="J109" s="285"/>
      <c r="K109" s="44"/>
      <c r="L109" s="252"/>
      <c r="M109" s="27"/>
    </row>
    <row r="110" spans="1:13" ht="15.75" x14ac:dyDescent="0.2">
      <c r="A110" s="21" t="s">
        <v>392</v>
      </c>
      <c r="B110" s="232"/>
      <c r="C110" s="232"/>
      <c r="D110" s="166"/>
      <c r="E110" s="27"/>
      <c r="F110" s="232"/>
      <c r="G110" s="232"/>
      <c r="H110" s="166"/>
      <c r="I110" s="27"/>
      <c r="J110" s="285"/>
      <c r="K110" s="44"/>
      <c r="L110" s="252"/>
      <c r="M110" s="27"/>
    </row>
    <row r="111" spans="1:13" ht="15.75" x14ac:dyDescent="0.2">
      <c r="A111" s="13" t="s">
        <v>372</v>
      </c>
      <c r="B111" s="306"/>
      <c r="C111" s="159"/>
      <c r="D111" s="171"/>
      <c r="E111" s="11"/>
      <c r="F111" s="306"/>
      <c r="G111" s="159"/>
      <c r="H111" s="171"/>
      <c r="I111" s="11"/>
      <c r="J111" s="307"/>
      <c r="K111" s="234"/>
      <c r="L111" s="371"/>
      <c r="M111" s="11"/>
    </row>
    <row r="112" spans="1:13" x14ac:dyDescent="0.2">
      <c r="A112" s="21" t="s">
        <v>9</v>
      </c>
      <c r="B112" s="232"/>
      <c r="C112" s="145"/>
      <c r="D112" s="166"/>
      <c r="E112" s="27"/>
      <c r="F112" s="232"/>
      <c r="G112" s="145"/>
      <c r="H112" s="166"/>
      <c r="I112" s="27"/>
      <c r="J112" s="285"/>
      <c r="K112" s="44"/>
      <c r="L112" s="252"/>
      <c r="M112" s="27"/>
    </row>
    <row r="113" spans="1:14" x14ac:dyDescent="0.2">
      <c r="A113" s="21" t="s">
        <v>10</v>
      </c>
      <c r="B113" s="232"/>
      <c r="C113" s="145"/>
      <c r="D113" s="166"/>
      <c r="E113" s="27"/>
      <c r="F113" s="232"/>
      <c r="G113" s="145"/>
      <c r="H113" s="166"/>
      <c r="I113" s="27"/>
      <c r="J113" s="285"/>
      <c r="K113" s="44"/>
      <c r="L113" s="252"/>
      <c r="M113" s="27"/>
    </row>
    <row r="114" spans="1:14" x14ac:dyDescent="0.2">
      <c r="A114" s="21" t="s">
        <v>26</v>
      </c>
      <c r="B114" s="232"/>
      <c r="C114" s="145"/>
      <c r="D114" s="166"/>
      <c r="E114" s="27"/>
      <c r="F114" s="232"/>
      <c r="G114" s="145"/>
      <c r="H114" s="166"/>
      <c r="I114" s="27"/>
      <c r="J114" s="285"/>
      <c r="K114" s="44"/>
      <c r="L114" s="252"/>
      <c r="M114" s="27"/>
    </row>
    <row r="115" spans="1:14" x14ac:dyDescent="0.2">
      <c r="A115" s="294" t="s">
        <v>15</v>
      </c>
      <c r="B115" s="279"/>
      <c r="C115" s="279"/>
      <c r="D115" s="166"/>
      <c r="E115" s="363"/>
      <c r="F115" s="279"/>
      <c r="G115" s="279"/>
      <c r="H115" s="166"/>
      <c r="I115" s="363"/>
      <c r="J115" s="288"/>
      <c r="K115" s="288"/>
      <c r="L115" s="166"/>
      <c r="M115" s="23"/>
    </row>
    <row r="116" spans="1:14" ht="15.75" x14ac:dyDescent="0.2">
      <c r="A116" s="21" t="s">
        <v>393</v>
      </c>
      <c r="B116" s="232"/>
      <c r="C116" s="232"/>
      <c r="D116" s="166"/>
      <c r="E116" s="27"/>
      <c r="F116" s="232"/>
      <c r="G116" s="232"/>
      <c r="H116" s="166"/>
      <c r="I116" s="27"/>
      <c r="J116" s="285"/>
      <c r="K116" s="44"/>
      <c r="L116" s="252"/>
      <c r="M116" s="27"/>
    </row>
    <row r="117" spans="1:14" ht="15.75" x14ac:dyDescent="0.2">
      <c r="A117" s="21" t="s">
        <v>394</v>
      </c>
      <c r="B117" s="232"/>
      <c r="C117" s="232"/>
      <c r="D117" s="166"/>
      <c r="E117" s="27"/>
      <c r="F117" s="232"/>
      <c r="G117" s="232"/>
      <c r="H117" s="166"/>
      <c r="I117" s="27"/>
      <c r="J117" s="285"/>
      <c r="K117" s="44"/>
      <c r="L117" s="252"/>
      <c r="M117" s="27"/>
    </row>
    <row r="118" spans="1:14" ht="15.75" x14ac:dyDescent="0.2">
      <c r="A118" s="21" t="s">
        <v>392</v>
      </c>
      <c r="B118" s="232"/>
      <c r="C118" s="232"/>
      <c r="D118" s="166"/>
      <c r="E118" s="27"/>
      <c r="F118" s="232"/>
      <c r="G118" s="232"/>
      <c r="H118" s="166"/>
      <c r="I118" s="27"/>
      <c r="J118" s="285"/>
      <c r="K118" s="44"/>
      <c r="L118" s="252"/>
      <c r="M118" s="27"/>
    </row>
    <row r="119" spans="1:14" ht="15.75" x14ac:dyDescent="0.2">
      <c r="A119" s="13" t="s">
        <v>373</v>
      </c>
      <c r="B119" s="306"/>
      <c r="C119" s="159"/>
      <c r="D119" s="171"/>
      <c r="E119" s="11"/>
      <c r="F119" s="306"/>
      <c r="G119" s="159"/>
      <c r="H119" s="171"/>
      <c r="I119" s="11"/>
      <c r="J119" s="307"/>
      <c r="K119" s="234"/>
      <c r="L119" s="371"/>
      <c r="M119" s="11"/>
    </row>
    <row r="120" spans="1:14" x14ac:dyDescent="0.2">
      <c r="A120" s="21" t="s">
        <v>9</v>
      </c>
      <c r="B120" s="232"/>
      <c r="C120" s="145"/>
      <c r="D120" s="166"/>
      <c r="E120" s="27"/>
      <c r="F120" s="232"/>
      <c r="G120" s="145"/>
      <c r="H120" s="166"/>
      <c r="I120" s="27"/>
      <c r="J120" s="285"/>
      <c r="K120" s="44"/>
      <c r="L120" s="252"/>
      <c r="M120" s="27"/>
    </row>
    <row r="121" spans="1:14" x14ac:dyDescent="0.2">
      <c r="A121" s="21" t="s">
        <v>10</v>
      </c>
      <c r="B121" s="232"/>
      <c r="C121" s="145"/>
      <c r="D121" s="166"/>
      <c r="E121" s="27"/>
      <c r="F121" s="232"/>
      <c r="G121" s="145"/>
      <c r="H121" s="166"/>
      <c r="I121" s="27"/>
      <c r="J121" s="285"/>
      <c r="K121" s="44"/>
      <c r="L121" s="252"/>
      <c r="M121" s="27"/>
    </row>
    <row r="122" spans="1:14" x14ac:dyDescent="0.2">
      <c r="A122" s="21" t="s">
        <v>26</v>
      </c>
      <c r="B122" s="232"/>
      <c r="C122" s="145"/>
      <c r="D122" s="166"/>
      <c r="E122" s="27"/>
      <c r="F122" s="232"/>
      <c r="G122" s="145"/>
      <c r="H122" s="166"/>
      <c r="I122" s="27"/>
      <c r="J122" s="285"/>
      <c r="K122" s="44"/>
      <c r="L122" s="252"/>
      <c r="M122" s="27"/>
    </row>
    <row r="123" spans="1:14" x14ac:dyDescent="0.2">
      <c r="A123" s="294" t="s">
        <v>14</v>
      </c>
      <c r="B123" s="279"/>
      <c r="C123" s="279"/>
      <c r="D123" s="166"/>
      <c r="E123" s="363"/>
      <c r="F123" s="279"/>
      <c r="G123" s="279"/>
      <c r="H123" s="166"/>
      <c r="I123" s="363"/>
      <c r="J123" s="288"/>
      <c r="K123" s="288"/>
      <c r="L123" s="166"/>
      <c r="M123" s="23"/>
    </row>
    <row r="124" spans="1:14" ht="15.75" x14ac:dyDescent="0.2">
      <c r="A124" s="21" t="s">
        <v>399</v>
      </c>
      <c r="B124" s="232"/>
      <c r="C124" s="232"/>
      <c r="D124" s="166"/>
      <c r="E124" s="27"/>
      <c r="F124" s="232"/>
      <c r="G124" s="232"/>
      <c r="H124" s="166"/>
      <c r="I124" s="27"/>
      <c r="J124" s="285"/>
      <c r="K124" s="44"/>
      <c r="L124" s="252"/>
      <c r="M124" s="27"/>
    </row>
    <row r="125" spans="1:14" ht="15.75" x14ac:dyDescent="0.2">
      <c r="A125" s="21" t="s">
        <v>391</v>
      </c>
      <c r="B125" s="232"/>
      <c r="C125" s="232"/>
      <c r="D125" s="166"/>
      <c r="E125" s="27"/>
      <c r="F125" s="232"/>
      <c r="G125" s="232"/>
      <c r="H125" s="166"/>
      <c r="I125" s="27"/>
      <c r="J125" s="285"/>
      <c r="K125" s="44"/>
      <c r="L125" s="252"/>
      <c r="M125" s="27"/>
    </row>
    <row r="126" spans="1:14" ht="15.75" x14ac:dyDescent="0.2">
      <c r="A126" s="10" t="s">
        <v>392</v>
      </c>
      <c r="B126" s="45"/>
      <c r="C126" s="45"/>
      <c r="D126" s="167"/>
      <c r="E126" s="364"/>
      <c r="F126" s="45"/>
      <c r="G126" s="45"/>
      <c r="H126" s="167"/>
      <c r="I126" s="22"/>
      <c r="J126" s="286"/>
      <c r="K126" s="45"/>
      <c r="L126" s="253"/>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95"/>
      <c r="C130" s="695"/>
      <c r="D130" s="695"/>
      <c r="E130" s="297"/>
      <c r="F130" s="695"/>
      <c r="G130" s="695"/>
      <c r="H130" s="695"/>
      <c r="I130" s="297"/>
      <c r="J130" s="695"/>
      <c r="K130" s="695"/>
      <c r="L130" s="695"/>
      <c r="M130" s="297"/>
    </row>
    <row r="131" spans="1:14" s="3" customFormat="1" x14ac:dyDescent="0.2">
      <c r="A131" s="144"/>
      <c r="B131" s="696" t="s">
        <v>0</v>
      </c>
      <c r="C131" s="697"/>
      <c r="D131" s="697"/>
      <c r="E131" s="299"/>
      <c r="F131" s="696" t="s">
        <v>1</v>
      </c>
      <c r="G131" s="697"/>
      <c r="H131" s="697"/>
      <c r="I131" s="302"/>
      <c r="J131" s="696" t="s">
        <v>2</v>
      </c>
      <c r="K131" s="697"/>
      <c r="L131" s="697"/>
      <c r="M131" s="302"/>
      <c r="N131" s="148"/>
    </row>
    <row r="132" spans="1:14" s="3" customFormat="1" x14ac:dyDescent="0.2">
      <c r="A132" s="140"/>
      <c r="B132" s="152" t="s">
        <v>422</v>
      </c>
      <c r="C132" s="152" t="s">
        <v>423</v>
      </c>
      <c r="D132" s="243" t="s">
        <v>3</v>
      </c>
      <c r="E132" s="303" t="s">
        <v>29</v>
      </c>
      <c r="F132" s="152" t="s">
        <v>422</v>
      </c>
      <c r="G132" s="152" t="s">
        <v>423</v>
      </c>
      <c r="H132" s="205" t="s">
        <v>3</v>
      </c>
      <c r="I132" s="162" t="s">
        <v>29</v>
      </c>
      <c r="J132" s="152" t="s">
        <v>422</v>
      </c>
      <c r="K132" s="152" t="s">
        <v>423</v>
      </c>
      <c r="L132" s="244" t="s">
        <v>3</v>
      </c>
      <c r="M132" s="162" t="s">
        <v>29</v>
      </c>
      <c r="N132" s="148"/>
    </row>
    <row r="133" spans="1:14" s="3" customFormat="1" x14ac:dyDescent="0.2">
      <c r="A133" s="666"/>
      <c r="B133" s="156"/>
      <c r="C133" s="156"/>
      <c r="D133" s="244" t="s">
        <v>4</v>
      </c>
      <c r="E133" s="156" t="s">
        <v>30</v>
      </c>
      <c r="F133" s="161"/>
      <c r="G133" s="161"/>
      <c r="H133" s="205" t="s">
        <v>4</v>
      </c>
      <c r="I133" s="156" t="s">
        <v>30</v>
      </c>
      <c r="J133" s="156"/>
      <c r="K133" s="156"/>
      <c r="L133" s="150" t="s">
        <v>4</v>
      </c>
      <c r="M133" s="156" t="s">
        <v>30</v>
      </c>
      <c r="N133" s="148"/>
    </row>
    <row r="134" spans="1:14" s="3" customFormat="1" ht="15.75" x14ac:dyDescent="0.2">
      <c r="A134" s="14" t="s">
        <v>395</v>
      </c>
      <c r="B134" s="234">
        <v>1428590</v>
      </c>
      <c r="C134" s="307">
        <v>1791535</v>
      </c>
      <c r="D134" s="347">
        <f t="shared" ref="D134:D136" si="1">IF(B134=0, "    ---- ", IF(ABS(ROUND(100/B134*C134-100,1))&lt;999,ROUND(100/B134*C134-100,1),IF(ROUND(100/B134*C134-100,1)&gt;999,999,-999)))</f>
        <v>25.4</v>
      </c>
      <c r="E134" s="11">
        <f>IFERROR(100/'Skjema total MA'!C134*C134,0)</f>
        <v>7.5669856639886701</v>
      </c>
      <c r="F134" s="314"/>
      <c r="G134" s="315"/>
      <c r="H134" s="374"/>
      <c r="I134" s="24"/>
      <c r="J134" s="316">
        <f t="shared" ref="J134:K136" si="2">SUM(B134,F134)</f>
        <v>1428590</v>
      </c>
      <c r="K134" s="316">
        <f t="shared" si="2"/>
        <v>1791535</v>
      </c>
      <c r="L134" s="370">
        <f t="shared" ref="L134:L136" si="3">IF(J134=0, "    ---- ", IF(ABS(ROUND(100/J134*K134-100,1))&lt;999,ROUND(100/J134*K134-100,1),IF(ROUND(100/J134*K134-100,1)&gt;999,999,-999)))</f>
        <v>25.4</v>
      </c>
      <c r="M134" s="11">
        <f>IFERROR(100/'Skjema total MA'!I134*K134,0)</f>
        <v>7.538605545666397</v>
      </c>
      <c r="N134" s="148"/>
    </row>
    <row r="135" spans="1:14" s="3" customFormat="1" ht="15.75" x14ac:dyDescent="0.2">
      <c r="A135" s="13" t="s">
        <v>400</v>
      </c>
      <c r="B135" s="234">
        <v>72102299</v>
      </c>
      <c r="C135" s="307">
        <v>75627238.392739996</v>
      </c>
      <c r="D135" s="171">
        <f t="shared" si="1"/>
        <v>4.9000000000000004</v>
      </c>
      <c r="E135" s="11">
        <f>IFERROR(100/'Skjema total MA'!C135*C135,0)</f>
        <v>13.259868136192347</v>
      </c>
      <c r="F135" s="234"/>
      <c r="G135" s="307"/>
      <c r="H135" s="375"/>
      <c r="I135" s="24"/>
      <c r="J135" s="306">
        <f t="shared" si="2"/>
        <v>72102299</v>
      </c>
      <c r="K135" s="306">
        <f t="shared" si="2"/>
        <v>75627238.392739996</v>
      </c>
      <c r="L135" s="371">
        <f t="shared" si="3"/>
        <v>4.9000000000000004</v>
      </c>
      <c r="M135" s="11">
        <f>IFERROR(100/'Skjema total MA'!I135*K135,0)</f>
        <v>13.199990066650974</v>
      </c>
      <c r="N135" s="148"/>
    </row>
    <row r="136" spans="1:14" s="3" customFormat="1" ht="15.75" x14ac:dyDescent="0.2">
      <c r="A136" s="13" t="s">
        <v>397</v>
      </c>
      <c r="B136" s="234">
        <v>310329</v>
      </c>
      <c r="C136" s="307">
        <v>105872.379</v>
      </c>
      <c r="D136" s="171">
        <f t="shared" si="1"/>
        <v>-65.900000000000006</v>
      </c>
      <c r="E136" s="11">
        <f>IFERROR(100/'Skjema total MA'!C136*C136,0)</f>
        <v>99.778391771320415</v>
      </c>
      <c r="F136" s="234"/>
      <c r="G136" s="307"/>
      <c r="H136" s="375"/>
      <c r="I136" s="24"/>
      <c r="J136" s="306">
        <f t="shared" si="2"/>
        <v>310329</v>
      </c>
      <c r="K136" s="306">
        <f t="shared" si="2"/>
        <v>105872.379</v>
      </c>
      <c r="L136" s="371">
        <f t="shared" si="3"/>
        <v>-65.900000000000006</v>
      </c>
      <c r="M136" s="11">
        <f>IFERROR(100/'Skjema total MA'!I136*K136,0)</f>
        <v>99.778391771320415</v>
      </c>
      <c r="N136" s="148"/>
    </row>
    <row r="137" spans="1:14" s="3" customFormat="1" ht="15.75" x14ac:dyDescent="0.2">
      <c r="A137" s="41" t="s">
        <v>398</v>
      </c>
      <c r="B137" s="274"/>
      <c r="C137" s="313"/>
      <c r="D137" s="169"/>
      <c r="E137" s="9"/>
      <c r="F137" s="274"/>
      <c r="G137" s="313"/>
      <c r="H137" s="376"/>
      <c r="I137" s="36"/>
      <c r="J137" s="312"/>
      <c r="K137" s="312"/>
      <c r="L137" s="372"/>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632" priority="132">
      <formula>kvartal &lt; 4</formula>
    </cfRule>
  </conditionalFormatting>
  <conditionalFormatting sqref="B69">
    <cfRule type="expression" dxfId="631" priority="100">
      <formula>kvartal &lt; 4</formula>
    </cfRule>
  </conditionalFormatting>
  <conditionalFormatting sqref="C69">
    <cfRule type="expression" dxfId="630" priority="99">
      <formula>kvartal &lt; 4</formula>
    </cfRule>
  </conditionalFormatting>
  <conditionalFormatting sqref="B72">
    <cfRule type="expression" dxfId="629" priority="98">
      <formula>kvartal &lt; 4</formula>
    </cfRule>
  </conditionalFormatting>
  <conditionalFormatting sqref="C72">
    <cfRule type="expression" dxfId="628" priority="97">
      <formula>kvartal &lt; 4</formula>
    </cfRule>
  </conditionalFormatting>
  <conditionalFormatting sqref="B80">
    <cfRule type="expression" dxfId="627" priority="96">
      <formula>kvartal &lt; 4</formula>
    </cfRule>
  </conditionalFormatting>
  <conditionalFormatting sqref="C80">
    <cfRule type="expression" dxfId="626" priority="95">
      <formula>kvartal &lt; 4</formula>
    </cfRule>
  </conditionalFormatting>
  <conditionalFormatting sqref="B83">
    <cfRule type="expression" dxfId="625" priority="94">
      <formula>kvartal &lt; 4</formula>
    </cfRule>
  </conditionalFormatting>
  <conditionalFormatting sqref="C83">
    <cfRule type="expression" dxfId="624" priority="93">
      <formula>kvartal &lt; 4</formula>
    </cfRule>
  </conditionalFormatting>
  <conditionalFormatting sqref="B90">
    <cfRule type="expression" dxfId="623" priority="84">
      <formula>kvartal &lt; 4</formula>
    </cfRule>
  </conditionalFormatting>
  <conditionalFormatting sqref="C90">
    <cfRule type="expression" dxfId="622" priority="83">
      <formula>kvartal &lt; 4</formula>
    </cfRule>
  </conditionalFormatting>
  <conditionalFormatting sqref="B93">
    <cfRule type="expression" dxfId="621" priority="82">
      <formula>kvartal &lt; 4</formula>
    </cfRule>
  </conditionalFormatting>
  <conditionalFormatting sqref="C93">
    <cfRule type="expression" dxfId="620" priority="81">
      <formula>kvartal &lt; 4</formula>
    </cfRule>
  </conditionalFormatting>
  <conditionalFormatting sqref="B101">
    <cfRule type="expression" dxfId="619" priority="80">
      <formula>kvartal &lt; 4</formula>
    </cfRule>
  </conditionalFormatting>
  <conditionalFormatting sqref="C101">
    <cfRule type="expression" dxfId="618" priority="79">
      <formula>kvartal &lt; 4</formula>
    </cfRule>
  </conditionalFormatting>
  <conditionalFormatting sqref="B104">
    <cfRule type="expression" dxfId="617" priority="78">
      <formula>kvartal &lt; 4</formula>
    </cfRule>
  </conditionalFormatting>
  <conditionalFormatting sqref="C104">
    <cfRule type="expression" dxfId="616" priority="77">
      <formula>kvartal &lt; 4</formula>
    </cfRule>
  </conditionalFormatting>
  <conditionalFormatting sqref="B115">
    <cfRule type="expression" dxfId="615" priority="76">
      <formula>kvartal &lt; 4</formula>
    </cfRule>
  </conditionalFormatting>
  <conditionalFormatting sqref="C115">
    <cfRule type="expression" dxfId="614" priority="75">
      <formula>kvartal &lt; 4</formula>
    </cfRule>
  </conditionalFormatting>
  <conditionalFormatting sqref="B123">
    <cfRule type="expression" dxfId="613" priority="74">
      <formula>kvartal &lt; 4</formula>
    </cfRule>
  </conditionalFormatting>
  <conditionalFormatting sqref="C123">
    <cfRule type="expression" dxfId="612" priority="73">
      <formula>kvartal &lt; 4</formula>
    </cfRule>
  </conditionalFormatting>
  <conditionalFormatting sqref="F70">
    <cfRule type="expression" dxfId="611" priority="72">
      <formula>kvartal &lt; 4</formula>
    </cfRule>
  </conditionalFormatting>
  <conditionalFormatting sqref="G70">
    <cfRule type="expression" dxfId="610" priority="71">
      <formula>kvartal &lt; 4</formula>
    </cfRule>
  </conditionalFormatting>
  <conditionalFormatting sqref="F71:G71">
    <cfRule type="expression" dxfId="609" priority="70">
      <formula>kvartal &lt; 4</formula>
    </cfRule>
  </conditionalFormatting>
  <conditionalFormatting sqref="F73:G74">
    <cfRule type="expression" dxfId="608" priority="69">
      <formula>kvartal &lt; 4</formula>
    </cfRule>
  </conditionalFormatting>
  <conditionalFormatting sqref="F81:G82">
    <cfRule type="expression" dxfId="607" priority="68">
      <formula>kvartal &lt; 4</formula>
    </cfRule>
  </conditionalFormatting>
  <conditionalFormatting sqref="F84:G85">
    <cfRule type="expression" dxfId="606" priority="67">
      <formula>kvartal &lt; 4</formula>
    </cfRule>
  </conditionalFormatting>
  <conditionalFormatting sqref="F91:G92">
    <cfRule type="expression" dxfId="605" priority="62">
      <formula>kvartal &lt; 4</formula>
    </cfRule>
  </conditionalFormatting>
  <conditionalFormatting sqref="F94:G95">
    <cfRule type="expression" dxfId="604" priority="61">
      <formula>kvartal &lt; 4</formula>
    </cfRule>
  </conditionalFormatting>
  <conditionalFormatting sqref="F102:G103">
    <cfRule type="expression" dxfId="603" priority="60">
      <formula>kvartal &lt; 4</formula>
    </cfRule>
  </conditionalFormatting>
  <conditionalFormatting sqref="F105:G106">
    <cfRule type="expression" dxfId="602" priority="59">
      <formula>kvartal &lt; 4</formula>
    </cfRule>
  </conditionalFormatting>
  <conditionalFormatting sqref="F115">
    <cfRule type="expression" dxfId="601" priority="58">
      <formula>kvartal &lt; 4</formula>
    </cfRule>
  </conditionalFormatting>
  <conditionalFormatting sqref="G115">
    <cfRule type="expression" dxfId="600" priority="57">
      <formula>kvartal &lt; 4</formula>
    </cfRule>
  </conditionalFormatting>
  <conditionalFormatting sqref="F123:G123">
    <cfRule type="expression" dxfId="599" priority="56">
      <formula>kvartal &lt; 4</formula>
    </cfRule>
  </conditionalFormatting>
  <conditionalFormatting sqref="F69:G69">
    <cfRule type="expression" dxfId="598" priority="55">
      <formula>kvartal &lt; 4</formula>
    </cfRule>
  </conditionalFormatting>
  <conditionalFormatting sqref="F72:G72">
    <cfRule type="expression" dxfId="597" priority="54">
      <formula>kvartal &lt; 4</formula>
    </cfRule>
  </conditionalFormatting>
  <conditionalFormatting sqref="F80:G80">
    <cfRule type="expression" dxfId="596" priority="53">
      <formula>kvartal &lt; 4</formula>
    </cfRule>
  </conditionalFormatting>
  <conditionalFormatting sqref="F83:G83">
    <cfRule type="expression" dxfId="595" priority="52">
      <formula>kvartal &lt; 4</formula>
    </cfRule>
  </conditionalFormatting>
  <conditionalFormatting sqref="F90:G90">
    <cfRule type="expression" dxfId="594" priority="46">
      <formula>kvartal &lt; 4</formula>
    </cfRule>
  </conditionalFormatting>
  <conditionalFormatting sqref="F93">
    <cfRule type="expression" dxfId="593" priority="45">
      <formula>kvartal &lt; 4</formula>
    </cfRule>
  </conditionalFormatting>
  <conditionalFormatting sqref="G93">
    <cfRule type="expression" dxfId="592" priority="44">
      <formula>kvartal &lt; 4</formula>
    </cfRule>
  </conditionalFormatting>
  <conditionalFormatting sqref="F101">
    <cfRule type="expression" dxfId="591" priority="43">
      <formula>kvartal &lt; 4</formula>
    </cfRule>
  </conditionalFormatting>
  <conditionalFormatting sqref="G101">
    <cfRule type="expression" dxfId="590" priority="42">
      <formula>kvartal &lt; 4</formula>
    </cfRule>
  </conditionalFormatting>
  <conditionalFormatting sqref="G104">
    <cfRule type="expression" dxfId="589" priority="41">
      <formula>kvartal &lt; 4</formula>
    </cfRule>
  </conditionalFormatting>
  <conditionalFormatting sqref="F104">
    <cfRule type="expression" dxfId="588" priority="40">
      <formula>kvartal &lt; 4</formula>
    </cfRule>
  </conditionalFormatting>
  <conditionalFormatting sqref="J69:K73">
    <cfRule type="expression" dxfId="587" priority="39">
      <formula>kvartal &lt; 4</formula>
    </cfRule>
  </conditionalFormatting>
  <conditionalFormatting sqref="J74:K74">
    <cfRule type="expression" dxfId="586" priority="38">
      <formula>kvartal &lt; 4</formula>
    </cfRule>
  </conditionalFormatting>
  <conditionalFormatting sqref="J80:K85">
    <cfRule type="expression" dxfId="585" priority="37">
      <formula>kvartal &lt; 4</formula>
    </cfRule>
  </conditionalFormatting>
  <conditionalFormatting sqref="J90:K95">
    <cfRule type="expression" dxfId="584" priority="34">
      <formula>kvartal &lt; 4</formula>
    </cfRule>
  </conditionalFormatting>
  <conditionalFormatting sqref="J101:K106">
    <cfRule type="expression" dxfId="583" priority="33">
      <formula>kvartal &lt; 4</formula>
    </cfRule>
  </conditionalFormatting>
  <conditionalFormatting sqref="J115:K115">
    <cfRule type="expression" dxfId="582" priority="32">
      <formula>kvartal &lt; 4</formula>
    </cfRule>
  </conditionalFormatting>
  <conditionalFormatting sqref="J123:K123">
    <cfRule type="expression" dxfId="581" priority="31">
      <formula>kvartal &lt; 4</formula>
    </cfRule>
  </conditionalFormatting>
  <conditionalFormatting sqref="A50:A52">
    <cfRule type="expression" dxfId="580" priority="12">
      <formula>kvartal &lt; 4</formula>
    </cfRule>
  </conditionalFormatting>
  <conditionalFormatting sqref="A69:A74">
    <cfRule type="expression" dxfId="579" priority="10">
      <formula>kvartal &lt; 4</formula>
    </cfRule>
  </conditionalFormatting>
  <conditionalFormatting sqref="A80:A85">
    <cfRule type="expression" dxfId="578" priority="9">
      <formula>kvartal &lt; 4</formula>
    </cfRule>
  </conditionalFormatting>
  <conditionalFormatting sqref="A90:A95">
    <cfRule type="expression" dxfId="577" priority="6">
      <formula>kvartal &lt; 4</formula>
    </cfRule>
  </conditionalFormatting>
  <conditionalFormatting sqref="A101:A106">
    <cfRule type="expression" dxfId="576" priority="5">
      <formula>kvartal &lt; 4</formula>
    </cfRule>
  </conditionalFormatting>
  <conditionalFormatting sqref="A115">
    <cfRule type="expression" dxfId="575" priority="4">
      <formula>kvartal &lt; 4</formula>
    </cfRule>
  </conditionalFormatting>
  <conditionalFormatting sqref="A123">
    <cfRule type="expression" dxfId="574" priority="3">
      <formula>kvartal &lt; 4</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64"/>
      <c r="C1" s="550" t="s">
        <v>370</v>
      </c>
      <c r="D1" s="26"/>
      <c r="E1" s="26"/>
      <c r="F1" s="26"/>
      <c r="G1" s="26"/>
      <c r="H1" s="26"/>
      <c r="I1" s="26"/>
      <c r="J1" s="26"/>
      <c r="K1" s="26"/>
      <c r="L1" s="26"/>
      <c r="M1" s="26"/>
    </row>
    <row r="2" spans="1:14" ht="15.75" x14ac:dyDescent="0.25">
      <c r="A2" s="165" t="s">
        <v>28</v>
      </c>
      <c r="B2" s="700"/>
      <c r="C2" s="700"/>
      <c r="D2" s="700"/>
      <c r="E2" s="547"/>
      <c r="F2" s="700"/>
      <c r="G2" s="700"/>
      <c r="H2" s="700"/>
      <c r="I2" s="547"/>
      <c r="J2" s="700"/>
      <c r="K2" s="700"/>
      <c r="L2" s="700"/>
      <c r="M2" s="547"/>
    </row>
    <row r="3" spans="1:14" ht="15.75" x14ac:dyDescent="0.25">
      <c r="A3" s="163"/>
      <c r="B3" s="547"/>
      <c r="C3" s="547"/>
      <c r="D3" s="547"/>
      <c r="E3" s="547"/>
      <c r="F3" s="547"/>
      <c r="G3" s="547"/>
      <c r="H3" s="547"/>
      <c r="I3" s="547"/>
      <c r="J3" s="547"/>
      <c r="K3" s="547"/>
      <c r="L3" s="547"/>
      <c r="M3" s="547"/>
    </row>
    <row r="4" spans="1:14" x14ac:dyDescent="0.2">
      <c r="A4" s="144"/>
      <c r="B4" s="696" t="s">
        <v>0</v>
      </c>
      <c r="C4" s="697"/>
      <c r="D4" s="697"/>
      <c r="E4" s="545"/>
      <c r="F4" s="696" t="s">
        <v>1</v>
      </c>
      <c r="G4" s="697"/>
      <c r="H4" s="697"/>
      <c r="I4" s="546"/>
      <c r="J4" s="696" t="s">
        <v>2</v>
      </c>
      <c r="K4" s="697"/>
      <c r="L4" s="697"/>
      <c r="M4" s="546"/>
    </row>
    <row r="5" spans="1:14" x14ac:dyDescent="0.2">
      <c r="A5" s="158"/>
      <c r="B5" s="152" t="s">
        <v>422</v>
      </c>
      <c r="C5" s="152" t="s">
        <v>423</v>
      </c>
      <c r="D5" s="243" t="s">
        <v>3</v>
      </c>
      <c r="E5" s="303" t="s">
        <v>29</v>
      </c>
      <c r="F5" s="152" t="s">
        <v>422</v>
      </c>
      <c r="G5" s="152" t="s">
        <v>423</v>
      </c>
      <c r="H5" s="243" t="s">
        <v>3</v>
      </c>
      <c r="I5" s="162" t="s">
        <v>29</v>
      </c>
      <c r="J5" s="152" t="s">
        <v>422</v>
      </c>
      <c r="K5" s="152" t="s">
        <v>423</v>
      </c>
      <c r="L5" s="243" t="s">
        <v>3</v>
      </c>
      <c r="M5" s="162" t="s">
        <v>29</v>
      </c>
    </row>
    <row r="6" spans="1:14" x14ac:dyDescent="0.2">
      <c r="A6" s="665"/>
      <c r="B6" s="156"/>
      <c r="C6" s="156"/>
      <c r="D6" s="244" t="s">
        <v>4</v>
      </c>
      <c r="E6" s="156" t="s">
        <v>30</v>
      </c>
      <c r="F6" s="161"/>
      <c r="G6" s="161"/>
      <c r="H6" s="243" t="s">
        <v>4</v>
      </c>
      <c r="I6" s="156" t="s">
        <v>30</v>
      </c>
      <c r="J6" s="161"/>
      <c r="K6" s="161"/>
      <c r="L6" s="243" t="s">
        <v>4</v>
      </c>
      <c r="M6" s="156" t="s">
        <v>30</v>
      </c>
    </row>
    <row r="7" spans="1:14" ht="15.75" x14ac:dyDescent="0.2">
      <c r="A7" s="14" t="s">
        <v>23</v>
      </c>
      <c r="B7" s="304"/>
      <c r="C7" s="305">
        <v>1468.97373069841</v>
      </c>
      <c r="D7" s="347" t="str">
        <f>IF(B7=0, "    ---- ", IF(ABS(ROUND(100/B7*C7-100,1))&lt;999,ROUND(100/B7*C7-100,1),IF(ROUND(100/B7*C7-100,1)&gt;999,999,-999)))</f>
        <v xml:space="preserve">    ---- </v>
      </c>
      <c r="E7" s="11">
        <f>IFERROR(100/'Skjema total MA'!C7*C7,0)</f>
        <v>5.5315996038684874E-2</v>
      </c>
      <c r="F7" s="304"/>
      <c r="G7" s="305"/>
      <c r="H7" s="347"/>
      <c r="I7" s="160"/>
      <c r="J7" s="306"/>
      <c r="K7" s="307">
        <f t="shared" ref="K7:K9" si="0">SUM(C7,G7)</f>
        <v>1468.97373069841</v>
      </c>
      <c r="L7" s="370" t="str">
        <f>IF(J7=0, "    ---- ", IF(ABS(ROUND(100/J7*K7-100,1))&lt;999,ROUND(100/J7*K7-100,1),IF(ROUND(100/J7*K7-100,1)&gt;999,999,-999)))</f>
        <v xml:space="preserve">    ---- </v>
      </c>
      <c r="M7" s="11">
        <f>IFERROR(100/'Skjema total MA'!I7*K7,0)</f>
        <v>1.9120056405667503E-2</v>
      </c>
    </row>
    <row r="8" spans="1:14" ht="15.75" x14ac:dyDescent="0.2">
      <c r="A8" s="21" t="s">
        <v>25</v>
      </c>
      <c r="B8" s="279"/>
      <c r="C8" s="280"/>
      <c r="D8" s="166"/>
      <c r="E8" s="27"/>
      <c r="F8" s="283"/>
      <c r="G8" s="284"/>
      <c r="H8" s="166"/>
      <c r="I8" s="175"/>
      <c r="J8" s="232"/>
      <c r="K8" s="285"/>
      <c r="L8" s="252"/>
      <c r="M8" s="27"/>
    </row>
    <row r="9" spans="1:14" ht="15.75" x14ac:dyDescent="0.2">
      <c r="A9" s="21" t="s">
        <v>24</v>
      </c>
      <c r="B9" s="279"/>
      <c r="C9" s="280">
        <v>1468.97373069841</v>
      </c>
      <c r="D9" s="166" t="str">
        <f t="shared" ref="D9" si="1">IF(B9=0, "    ---- ", IF(ABS(ROUND(100/B9*C9-100,1))&lt;999,ROUND(100/B9*C9-100,1),IF(ROUND(100/B9*C9-100,1)&gt;999,999,-999)))</f>
        <v xml:space="preserve">    ---- </v>
      </c>
      <c r="E9" s="27">
        <f>IFERROR(100/'Skjema total MA'!C9*C9,0)</f>
        <v>0.25228822011653323</v>
      </c>
      <c r="F9" s="283"/>
      <c r="G9" s="284"/>
      <c r="H9" s="166"/>
      <c r="I9" s="175"/>
      <c r="J9" s="232"/>
      <c r="K9" s="285">
        <f t="shared" si="0"/>
        <v>1468.97373069841</v>
      </c>
      <c r="L9" s="166" t="str">
        <f t="shared" ref="L9" si="2">IF(J9=0, "    ---- ", IF(ABS(ROUND(100/J9*K9-100,1))&lt;999,ROUND(100/J9*K9-100,1),IF(ROUND(100/J9*K9-100,1)&gt;999,999,-999)))</f>
        <v xml:space="preserve">    ---- </v>
      </c>
      <c r="M9" s="27">
        <f>IFERROR(100/'Skjema total MA'!I9*K9,0)</f>
        <v>0.25228822011653323</v>
      </c>
    </row>
    <row r="10" spans="1:14" ht="15.75" x14ac:dyDescent="0.2">
      <c r="A10" s="13" t="s">
        <v>371</v>
      </c>
      <c r="B10" s="308"/>
      <c r="C10" s="309"/>
      <c r="D10" s="171"/>
      <c r="E10" s="11"/>
      <c r="F10" s="308"/>
      <c r="G10" s="309"/>
      <c r="H10" s="171"/>
      <c r="I10" s="160"/>
      <c r="J10" s="306"/>
      <c r="K10" s="307"/>
      <c r="L10" s="371"/>
      <c r="M10" s="11"/>
    </row>
    <row r="11" spans="1:14" s="43" customFormat="1" ht="15.75" x14ac:dyDescent="0.2">
      <c r="A11" s="13" t="s">
        <v>372</v>
      </c>
      <c r="B11" s="308"/>
      <c r="C11" s="309"/>
      <c r="D11" s="171"/>
      <c r="E11" s="11"/>
      <c r="F11" s="308"/>
      <c r="G11" s="309"/>
      <c r="H11" s="171"/>
      <c r="I11" s="160"/>
      <c r="J11" s="306"/>
      <c r="K11" s="307"/>
      <c r="L11" s="371"/>
      <c r="M11" s="11"/>
      <c r="N11" s="143"/>
    </row>
    <row r="12" spans="1:14" s="43" customFormat="1" ht="15.75" x14ac:dyDescent="0.2">
      <c r="A12" s="41" t="s">
        <v>373</v>
      </c>
      <c r="B12" s="310"/>
      <c r="C12" s="311"/>
      <c r="D12" s="169"/>
      <c r="E12" s="36"/>
      <c r="F12" s="310"/>
      <c r="G12" s="311"/>
      <c r="H12" s="169"/>
      <c r="I12" s="169"/>
      <c r="J12" s="312"/>
      <c r="K12" s="313"/>
      <c r="L12" s="372"/>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95"/>
      <c r="C18" s="695"/>
      <c r="D18" s="695"/>
      <c r="E18" s="547"/>
      <c r="F18" s="695"/>
      <c r="G18" s="695"/>
      <c r="H18" s="695"/>
      <c r="I18" s="547"/>
      <c r="J18" s="695"/>
      <c r="K18" s="695"/>
      <c r="L18" s="695"/>
      <c r="M18" s="547"/>
    </row>
    <row r="19" spans="1:14" x14ac:dyDescent="0.2">
      <c r="A19" s="144"/>
      <c r="B19" s="696" t="s">
        <v>0</v>
      </c>
      <c r="C19" s="697"/>
      <c r="D19" s="697"/>
      <c r="E19" s="545"/>
      <c r="F19" s="696" t="s">
        <v>1</v>
      </c>
      <c r="G19" s="697"/>
      <c r="H19" s="697"/>
      <c r="I19" s="546"/>
      <c r="J19" s="696" t="s">
        <v>2</v>
      </c>
      <c r="K19" s="697"/>
      <c r="L19" s="697"/>
      <c r="M19" s="546"/>
    </row>
    <row r="20" spans="1:14" x14ac:dyDescent="0.2">
      <c r="A20" s="140" t="s">
        <v>5</v>
      </c>
      <c r="B20" s="152" t="s">
        <v>422</v>
      </c>
      <c r="C20" s="152" t="s">
        <v>423</v>
      </c>
      <c r="D20" s="162" t="s">
        <v>3</v>
      </c>
      <c r="E20" s="303" t="s">
        <v>29</v>
      </c>
      <c r="F20" s="152" t="s">
        <v>422</v>
      </c>
      <c r="G20" s="152" t="s">
        <v>423</v>
      </c>
      <c r="H20" s="162" t="s">
        <v>3</v>
      </c>
      <c r="I20" s="162" t="s">
        <v>29</v>
      </c>
      <c r="J20" s="152" t="s">
        <v>422</v>
      </c>
      <c r="K20" s="152" t="s">
        <v>423</v>
      </c>
      <c r="L20" s="162" t="s">
        <v>3</v>
      </c>
      <c r="M20" s="162" t="s">
        <v>29</v>
      </c>
    </row>
    <row r="21" spans="1:14" x14ac:dyDescent="0.2">
      <c r="A21" s="666"/>
      <c r="B21" s="156"/>
      <c r="C21" s="156"/>
      <c r="D21" s="244" t="s">
        <v>4</v>
      </c>
      <c r="E21" s="156" t="s">
        <v>30</v>
      </c>
      <c r="F21" s="161"/>
      <c r="G21" s="161"/>
      <c r="H21" s="243" t="s">
        <v>4</v>
      </c>
      <c r="I21" s="156" t="s">
        <v>30</v>
      </c>
      <c r="J21" s="161"/>
      <c r="K21" s="161"/>
      <c r="L21" s="156" t="s">
        <v>4</v>
      </c>
      <c r="M21" s="156" t="s">
        <v>30</v>
      </c>
    </row>
    <row r="22" spans="1:14" ht="15.75" x14ac:dyDescent="0.2">
      <c r="A22" s="14" t="s">
        <v>23</v>
      </c>
      <c r="B22" s="308"/>
      <c r="C22" s="308"/>
      <c r="D22" s="347"/>
      <c r="E22" s="11"/>
      <c r="F22" s="316"/>
      <c r="G22" s="316"/>
      <c r="H22" s="347"/>
      <c r="I22" s="11"/>
      <c r="J22" s="314"/>
      <c r="K22" s="314"/>
      <c r="L22" s="370"/>
      <c r="M22" s="24"/>
    </row>
    <row r="23" spans="1:14" ht="15.75" x14ac:dyDescent="0.2">
      <c r="A23" s="551" t="s">
        <v>374</v>
      </c>
      <c r="B23" s="279"/>
      <c r="C23" s="279"/>
      <c r="D23" s="166"/>
      <c r="E23" s="11"/>
      <c r="F23" s="288"/>
      <c r="G23" s="288"/>
      <c r="H23" s="166"/>
      <c r="I23" s="363"/>
      <c r="J23" s="288"/>
      <c r="K23" s="288"/>
      <c r="L23" s="166"/>
      <c r="M23" s="23"/>
    </row>
    <row r="24" spans="1:14" ht="15.75" x14ac:dyDescent="0.2">
      <c r="A24" s="551" t="s">
        <v>375</v>
      </c>
      <c r="B24" s="279"/>
      <c r="C24" s="279"/>
      <c r="D24" s="166"/>
      <c r="E24" s="11"/>
      <c r="F24" s="288"/>
      <c r="G24" s="288"/>
      <c r="H24" s="166"/>
      <c r="I24" s="363"/>
      <c r="J24" s="288"/>
      <c r="K24" s="288"/>
      <c r="L24" s="166"/>
      <c r="M24" s="23"/>
    </row>
    <row r="25" spans="1:14" ht="15.75" x14ac:dyDescent="0.2">
      <c r="A25" s="551" t="s">
        <v>376</v>
      </c>
      <c r="B25" s="279"/>
      <c r="C25" s="279"/>
      <c r="D25" s="166"/>
      <c r="E25" s="11"/>
      <c r="F25" s="288"/>
      <c r="G25" s="288"/>
      <c r="H25" s="166"/>
      <c r="I25" s="363"/>
      <c r="J25" s="288"/>
      <c r="K25" s="288"/>
      <c r="L25" s="166"/>
      <c r="M25" s="23"/>
    </row>
    <row r="26" spans="1:14" ht="15.75" x14ac:dyDescent="0.2">
      <c r="A26" s="551" t="s">
        <v>377</v>
      </c>
      <c r="B26" s="279"/>
      <c r="C26" s="279"/>
      <c r="D26" s="166"/>
      <c r="E26" s="11"/>
      <c r="F26" s="288"/>
      <c r="G26" s="288"/>
      <c r="H26" s="166"/>
      <c r="I26" s="363"/>
      <c r="J26" s="288"/>
      <c r="K26" s="288"/>
      <c r="L26" s="166"/>
      <c r="M26" s="23"/>
    </row>
    <row r="27" spans="1:14" x14ac:dyDescent="0.2">
      <c r="A27" s="551" t="s">
        <v>11</v>
      </c>
      <c r="B27" s="279"/>
      <c r="C27" s="279"/>
      <c r="D27" s="166"/>
      <c r="E27" s="11"/>
      <c r="F27" s="288"/>
      <c r="G27" s="288"/>
      <c r="H27" s="166"/>
      <c r="I27" s="363"/>
      <c r="J27" s="288"/>
      <c r="K27" s="288"/>
      <c r="L27" s="166"/>
      <c r="M27" s="23"/>
    </row>
    <row r="28" spans="1:14" ht="15.75" x14ac:dyDescent="0.2">
      <c r="A28" s="49" t="s">
        <v>282</v>
      </c>
      <c r="B28" s="44"/>
      <c r="C28" s="285"/>
      <c r="D28" s="166"/>
      <c r="E28" s="11"/>
      <c r="F28" s="232"/>
      <c r="G28" s="285"/>
      <c r="H28" s="166"/>
      <c r="I28" s="27"/>
      <c r="J28" s="44"/>
      <c r="K28" s="44"/>
      <c r="L28" s="252"/>
      <c r="M28" s="23"/>
    </row>
    <row r="29" spans="1:14" s="3" customFormat="1" ht="15.75" x14ac:dyDescent="0.2">
      <c r="A29" s="13" t="s">
        <v>371</v>
      </c>
      <c r="B29" s="234"/>
      <c r="C29" s="234"/>
      <c r="D29" s="171"/>
      <c r="E29" s="11"/>
      <c r="F29" s="306"/>
      <c r="G29" s="306"/>
      <c r="H29" s="171"/>
      <c r="I29" s="11"/>
      <c r="J29" s="234"/>
      <c r="K29" s="234"/>
      <c r="L29" s="371"/>
      <c r="M29" s="24"/>
      <c r="N29" s="148"/>
    </row>
    <row r="30" spans="1:14" s="3" customFormat="1" ht="15.75" x14ac:dyDescent="0.2">
      <c r="A30" s="551" t="s">
        <v>374</v>
      </c>
      <c r="B30" s="279"/>
      <c r="C30" s="279"/>
      <c r="D30" s="166"/>
      <c r="E30" s="11"/>
      <c r="F30" s="288"/>
      <c r="G30" s="288"/>
      <c r="H30" s="166"/>
      <c r="I30" s="363"/>
      <c r="J30" s="288"/>
      <c r="K30" s="288"/>
      <c r="L30" s="166"/>
      <c r="M30" s="23"/>
      <c r="N30" s="148"/>
    </row>
    <row r="31" spans="1:14" s="3" customFormat="1" ht="15.75" x14ac:dyDescent="0.2">
      <c r="A31" s="551" t="s">
        <v>375</v>
      </c>
      <c r="B31" s="279"/>
      <c r="C31" s="279"/>
      <c r="D31" s="166"/>
      <c r="E31" s="11"/>
      <c r="F31" s="288"/>
      <c r="G31" s="288"/>
      <c r="H31" s="166"/>
      <c r="I31" s="363"/>
      <c r="J31" s="288"/>
      <c r="K31" s="288"/>
      <c r="L31" s="166"/>
      <c r="M31" s="23"/>
      <c r="N31" s="148"/>
    </row>
    <row r="32" spans="1:14" ht="15.75" x14ac:dyDescent="0.2">
      <c r="A32" s="551" t="s">
        <v>376</v>
      </c>
      <c r="B32" s="279"/>
      <c r="C32" s="279"/>
      <c r="D32" s="166"/>
      <c r="E32" s="11"/>
      <c r="F32" s="288"/>
      <c r="G32" s="288"/>
      <c r="H32" s="166"/>
      <c r="I32" s="363"/>
      <c r="J32" s="288"/>
      <c r="K32" s="288"/>
      <c r="L32" s="166"/>
      <c r="M32" s="23"/>
    </row>
    <row r="33" spans="1:14" ht="15.75" x14ac:dyDescent="0.2">
      <c r="A33" s="551" t="s">
        <v>377</v>
      </c>
      <c r="B33" s="279"/>
      <c r="C33" s="279"/>
      <c r="D33" s="166"/>
      <c r="E33" s="11"/>
      <c r="F33" s="288"/>
      <c r="G33" s="288"/>
      <c r="H33" s="166"/>
      <c r="I33" s="363"/>
      <c r="J33" s="288"/>
      <c r="K33" s="288"/>
      <c r="L33" s="166"/>
      <c r="M33" s="23"/>
    </row>
    <row r="34" spans="1:14" ht="15.75" x14ac:dyDescent="0.2">
      <c r="A34" s="13" t="s">
        <v>372</v>
      </c>
      <c r="B34" s="234"/>
      <c r="C34" s="307"/>
      <c r="D34" s="171"/>
      <c r="E34" s="11"/>
      <c r="F34" s="306"/>
      <c r="G34" s="307"/>
      <c r="H34" s="171"/>
      <c r="I34" s="11"/>
      <c r="J34" s="234"/>
      <c r="K34" s="234"/>
      <c r="L34" s="371"/>
      <c r="M34" s="24"/>
    </row>
    <row r="35" spans="1:14" ht="15.75" x14ac:dyDescent="0.2">
      <c r="A35" s="13" t="s">
        <v>373</v>
      </c>
      <c r="B35" s="234"/>
      <c r="C35" s="307"/>
      <c r="D35" s="171"/>
      <c r="E35" s="11"/>
      <c r="F35" s="306"/>
      <c r="G35" s="307"/>
      <c r="H35" s="171"/>
      <c r="I35" s="11"/>
      <c r="J35" s="234"/>
      <c r="K35" s="234"/>
      <c r="L35" s="371"/>
      <c r="M35" s="24"/>
    </row>
    <row r="36" spans="1:14" ht="15.75" x14ac:dyDescent="0.2">
      <c r="A36" s="12" t="s">
        <v>290</v>
      </c>
      <c r="B36" s="234"/>
      <c r="C36" s="307"/>
      <c r="D36" s="171"/>
      <c r="E36" s="11"/>
      <c r="F36" s="317"/>
      <c r="G36" s="318"/>
      <c r="H36" s="171"/>
      <c r="I36" s="377"/>
      <c r="J36" s="234"/>
      <c r="K36" s="234"/>
      <c r="L36" s="371"/>
      <c r="M36" s="24"/>
    </row>
    <row r="37" spans="1:14" ht="15.75" x14ac:dyDescent="0.2">
      <c r="A37" s="12" t="s">
        <v>379</v>
      </c>
      <c r="B37" s="234"/>
      <c r="C37" s="307"/>
      <c r="D37" s="171"/>
      <c r="E37" s="11"/>
      <c r="F37" s="317"/>
      <c r="G37" s="319"/>
      <c r="H37" s="171"/>
      <c r="I37" s="377"/>
      <c r="J37" s="234"/>
      <c r="K37" s="234"/>
      <c r="L37" s="371"/>
      <c r="M37" s="24"/>
    </row>
    <row r="38" spans="1:14" ht="15.75" x14ac:dyDescent="0.2">
      <c r="A38" s="12" t="s">
        <v>380</v>
      </c>
      <c r="B38" s="234"/>
      <c r="C38" s="307"/>
      <c r="D38" s="171"/>
      <c r="E38" s="24"/>
      <c r="F38" s="317"/>
      <c r="G38" s="318"/>
      <c r="H38" s="171"/>
      <c r="I38" s="377"/>
      <c r="J38" s="234"/>
      <c r="K38" s="234"/>
      <c r="L38" s="371"/>
      <c r="M38" s="24"/>
    </row>
    <row r="39" spans="1:14" ht="15.75" x14ac:dyDescent="0.2">
      <c r="A39" s="18" t="s">
        <v>381</v>
      </c>
      <c r="B39" s="274"/>
      <c r="C39" s="313"/>
      <c r="D39" s="169"/>
      <c r="E39" s="36"/>
      <c r="F39" s="320"/>
      <c r="G39" s="321"/>
      <c r="H39" s="169"/>
      <c r="I39" s="36"/>
      <c r="J39" s="234"/>
      <c r="K39" s="234"/>
      <c r="L39" s="372"/>
      <c r="M39" s="36"/>
    </row>
    <row r="40" spans="1:14" ht="15.75" x14ac:dyDescent="0.25">
      <c r="A40" s="47"/>
      <c r="B40" s="251"/>
      <c r="C40" s="251"/>
      <c r="D40" s="699"/>
      <c r="E40" s="699"/>
      <c r="F40" s="699"/>
      <c r="G40" s="699"/>
      <c r="H40" s="699"/>
      <c r="I40" s="699"/>
      <c r="J40" s="699"/>
      <c r="K40" s="699"/>
      <c r="L40" s="699"/>
      <c r="M40" s="549"/>
    </row>
    <row r="41" spans="1:14" x14ac:dyDescent="0.2">
      <c r="A41" s="155"/>
    </row>
    <row r="42" spans="1:14" ht="15.75" x14ac:dyDescent="0.25">
      <c r="A42" s="147" t="s">
        <v>279</v>
      </c>
      <c r="B42" s="700"/>
      <c r="C42" s="700"/>
      <c r="D42" s="700"/>
      <c r="E42" s="547"/>
      <c r="F42" s="701"/>
      <c r="G42" s="701"/>
      <c r="H42" s="701"/>
      <c r="I42" s="549"/>
      <c r="J42" s="701"/>
      <c r="K42" s="701"/>
      <c r="L42" s="701"/>
      <c r="M42" s="549"/>
    </row>
    <row r="43" spans="1:14" ht="15.75" x14ac:dyDescent="0.25">
      <c r="A43" s="163"/>
      <c r="B43" s="548"/>
      <c r="C43" s="548"/>
      <c r="D43" s="548"/>
      <c r="E43" s="548"/>
      <c r="F43" s="549"/>
      <c r="G43" s="549"/>
      <c r="H43" s="549"/>
      <c r="I43" s="549"/>
      <c r="J43" s="549"/>
      <c r="K43" s="549"/>
      <c r="L43" s="549"/>
      <c r="M43" s="549"/>
    </row>
    <row r="44" spans="1:14" ht="15.75" x14ac:dyDescent="0.25">
      <c r="A44" s="245"/>
      <c r="B44" s="696" t="s">
        <v>0</v>
      </c>
      <c r="C44" s="697"/>
      <c r="D44" s="697"/>
      <c r="E44" s="241"/>
      <c r="F44" s="549"/>
      <c r="G44" s="549"/>
      <c r="H44" s="549"/>
      <c r="I44" s="549"/>
      <c r="J44" s="549"/>
      <c r="K44" s="549"/>
      <c r="L44" s="549"/>
      <c r="M44" s="549"/>
    </row>
    <row r="45" spans="1:14" s="3" customFormat="1" x14ac:dyDescent="0.2">
      <c r="A45" s="140"/>
      <c r="B45" s="152" t="s">
        <v>422</v>
      </c>
      <c r="C45" s="152" t="s">
        <v>423</v>
      </c>
      <c r="D45" s="162" t="s">
        <v>3</v>
      </c>
      <c r="E45" s="162" t="s">
        <v>29</v>
      </c>
      <c r="F45" s="174"/>
      <c r="G45" s="174"/>
      <c r="H45" s="173"/>
      <c r="I45" s="173"/>
      <c r="J45" s="174"/>
      <c r="K45" s="174"/>
      <c r="L45" s="173"/>
      <c r="M45" s="173"/>
      <c r="N45" s="148"/>
    </row>
    <row r="46" spans="1:14" s="3" customFormat="1" x14ac:dyDescent="0.2">
      <c r="A46" s="666"/>
      <c r="B46" s="242"/>
      <c r="C46" s="242"/>
      <c r="D46" s="243" t="s">
        <v>4</v>
      </c>
      <c r="E46" s="156" t="s">
        <v>30</v>
      </c>
      <c r="F46" s="173"/>
      <c r="G46" s="173"/>
      <c r="H46" s="173"/>
      <c r="I46" s="173"/>
      <c r="J46" s="173"/>
      <c r="K46" s="173"/>
      <c r="L46" s="173"/>
      <c r="M46" s="173"/>
      <c r="N46" s="148"/>
    </row>
    <row r="47" spans="1:14" s="3" customFormat="1" ht="15.75" x14ac:dyDescent="0.2">
      <c r="A47" s="14" t="s">
        <v>23</v>
      </c>
      <c r="B47" s="308">
        <v>251893.27284613601</v>
      </c>
      <c r="C47" s="309">
        <v>253139.66236868699</v>
      </c>
      <c r="D47" s="370">
        <f t="shared" ref="D47:D48" si="3">IF(B47=0, "    ---- ", IF(ABS(ROUND(100/B47*C47-100,1))&lt;999,ROUND(100/B47*C47-100,1),IF(ROUND(100/B47*C47-100,1)&gt;999,999,-999)))</f>
        <v>0.5</v>
      </c>
      <c r="E47" s="11">
        <f>IFERROR(100/'Skjema total MA'!C47*C47,0)</f>
        <v>7.8407702724546864</v>
      </c>
      <c r="F47" s="145"/>
      <c r="G47" s="33"/>
      <c r="H47" s="159"/>
      <c r="I47" s="159"/>
      <c r="J47" s="37"/>
      <c r="K47" s="37"/>
      <c r="L47" s="159"/>
      <c r="M47" s="159"/>
      <c r="N47" s="148"/>
    </row>
    <row r="48" spans="1:14" s="3" customFormat="1" ht="15.75" x14ac:dyDescent="0.2">
      <c r="A48" s="38" t="s">
        <v>382</v>
      </c>
      <c r="B48" s="279">
        <v>251893.27284613601</v>
      </c>
      <c r="C48" s="280">
        <v>253139.66236868699</v>
      </c>
      <c r="D48" s="252">
        <f t="shared" si="3"/>
        <v>0.5</v>
      </c>
      <c r="E48" s="27">
        <f>IFERROR(100/'Skjema total MA'!C48*C48,0)</f>
        <v>13.931594875144626</v>
      </c>
      <c r="F48" s="145"/>
      <c r="G48" s="33"/>
      <c r="H48" s="145"/>
      <c r="I48" s="145"/>
      <c r="J48" s="33"/>
      <c r="K48" s="33"/>
      <c r="L48" s="159"/>
      <c r="M48" s="159"/>
      <c r="N48" s="148"/>
    </row>
    <row r="49" spans="1:14" s="3" customFormat="1" ht="15.75" x14ac:dyDescent="0.2">
      <c r="A49" s="38" t="s">
        <v>383</v>
      </c>
      <c r="B49" s="44"/>
      <c r="C49" s="285"/>
      <c r="D49" s="252"/>
      <c r="E49" s="27"/>
      <c r="F49" s="145"/>
      <c r="G49" s="33"/>
      <c r="H49" s="145"/>
      <c r="I49" s="145"/>
      <c r="J49" s="37"/>
      <c r="K49" s="37"/>
      <c r="L49" s="159"/>
      <c r="M49" s="159"/>
      <c r="N49" s="148"/>
    </row>
    <row r="50" spans="1:14" s="3" customFormat="1" x14ac:dyDescent="0.2">
      <c r="A50" s="294" t="s">
        <v>6</v>
      </c>
      <c r="B50" s="288"/>
      <c r="C50" s="289"/>
      <c r="D50" s="252"/>
      <c r="E50" s="23"/>
      <c r="F50" s="145"/>
      <c r="G50" s="33"/>
      <c r="H50" s="145"/>
      <c r="I50" s="145"/>
      <c r="J50" s="33"/>
      <c r="K50" s="33"/>
      <c r="L50" s="159"/>
      <c r="M50" s="159"/>
      <c r="N50" s="148"/>
    </row>
    <row r="51" spans="1:14" s="3" customFormat="1" x14ac:dyDescent="0.2">
      <c r="A51" s="294" t="s">
        <v>7</v>
      </c>
      <c r="B51" s="288"/>
      <c r="C51" s="289"/>
      <c r="D51" s="252"/>
      <c r="E51" s="23"/>
      <c r="F51" s="145"/>
      <c r="G51" s="33"/>
      <c r="H51" s="145"/>
      <c r="I51" s="145"/>
      <c r="J51" s="33"/>
      <c r="K51" s="33"/>
      <c r="L51" s="159"/>
      <c r="M51" s="159"/>
      <c r="N51" s="148"/>
    </row>
    <row r="52" spans="1:14" s="3" customFormat="1" x14ac:dyDescent="0.2">
      <c r="A52" s="294" t="s">
        <v>8</v>
      </c>
      <c r="B52" s="288"/>
      <c r="C52" s="289"/>
      <c r="D52" s="252"/>
      <c r="E52" s="23"/>
      <c r="F52" s="145"/>
      <c r="G52" s="33"/>
      <c r="H52" s="145"/>
      <c r="I52" s="145"/>
      <c r="J52" s="33"/>
      <c r="K52" s="33"/>
      <c r="L52" s="159"/>
      <c r="M52" s="159"/>
      <c r="N52" s="148"/>
    </row>
    <row r="53" spans="1:14" s="3" customFormat="1" ht="15.75" x14ac:dyDescent="0.2">
      <c r="A53" s="39" t="s">
        <v>384</v>
      </c>
      <c r="B53" s="308"/>
      <c r="C53" s="309"/>
      <c r="D53" s="371"/>
      <c r="E53" s="11"/>
      <c r="F53" s="145"/>
      <c r="G53" s="33"/>
      <c r="H53" s="145"/>
      <c r="I53" s="145"/>
      <c r="J53" s="33"/>
      <c r="K53" s="33"/>
      <c r="L53" s="159"/>
      <c r="M53" s="159"/>
      <c r="N53" s="148"/>
    </row>
    <row r="54" spans="1:14" s="3" customFormat="1" ht="15.75" x14ac:dyDescent="0.2">
      <c r="A54" s="38" t="s">
        <v>382</v>
      </c>
      <c r="B54" s="279"/>
      <c r="C54" s="280"/>
      <c r="D54" s="252"/>
      <c r="E54" s="27"/>
      <c r="F54" s="145"/>
      <c r="G54" s="33"/>
      <c r="H54" s="145"/>
      <c r="I54" s="145"/>
      <c r="J54" s="33"/>
      <c r="K54" s="33"/>
      <c r="L54" s="159"/>
      <c r="M54" s="159"/>
      <c r="N54" s="148"/>
    </row>
    <row r="55" spans="1:14" s="3" customFormat="1" ht="15.75" x14ac:dyDescent="0.2">
      <c r="A55" s="38" t="s">
        <v>383</v>
      </c>
      <c r="B55" s="279"/>
      <c r="C55" s="280"/>
      <c r="D55" s="252"/>
      <c r="E55" s="27"/>
      <c r="F55" s="145"/>
      <c r="G55" s="33"/>
      <c r="H55" s="145"/>
      <c r="I55" s="145"/>
      <c r="J55" s="33"/>
      <c r="K55" s="33"/>
      <c r="L55" s="159"/>
      <c r="M55" s="159"/>
      <c r="N55" s="148"/>
    </row>
    <row r="56" spans="1:14" s="3" customFormat="1" ht="15.75" x14ac:dyDescent="0.2">
      <c r="A56" s="39" t="s">
        <v>385</v>
      </c>
      <c r="B56" s="308"/>
      <c r="C56" s="309"/>
      <c r="D56" s="371"/>
      <c r="E56" s="11"/>
      <c r="F56" s="145"/>
      <c r="G56" s="33"/>
      <c r="H56" s="145"/>
      <c r="I56" s="145"/>
      <c r="J56" s="33"/>
      <c r="K56" s="33"/>
      <c r="L56" s="159"/>
      <c r="M56" s="159"/>
      <c r="N56" s="148"/>
    </row>
    <row r="57" spans="1:14" s="3" customFormat="1" ht="15.75" x14ac:dyDescent="0.2">
      <c r="A57" s="38" t="s">
        <v>382</v>
      </c>
      <c r="B57" s="279"/>
      <c r="C57" s="280"/>
      <c r="D57" s="252"/>
      <c r="E57" s="27"/>
      <c r="F57" s="145"/>
      <c r="G57" s="33"/>
      <c r="H57" s="145"/>
      <c r="I57" s="145"/>
      <c r="J57" s="33"/>
      <c r="K57" s="33"/>
      <c r="L57" s="159"/>
      <c r="M57" s="159"/>
      <c r="N57" s="148"/>
    </row>
    <row r="58" spans="1:14" s="3" customFormat="1" ht="15.75" x14ac:dyDescent="0.2">
      <c r="A58" s="46" t="s">
        <v>383</v>
      </c>
      <c r="B58" s="281"/>
      <c r="C58" s="282"/>
      <c r="D58" s="253"/>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95"/>
      <c r="C62" s="695"/>
      <c r="D62" s="695"/>
      <c r="E62" s="547"/>
      <c r="F62" s="695"/>
      <c r="G62" s="695"/>
      <c r="H62" s="695"/>
      <c r="I62" s="547"/>
      <c r="J62" s="695"/>
      <c r="K62" s="695"/>
      <c r="L62" s="695"/>
      <c r="M62" s="547"/>
    </row>
    <row r="63" spans="1:14" x14ac:dyDescent="0.2">
      <c r="A63" s="144"/>
      <c r="B63" s="696" t="s">
        <v>0</v>
      </c>
      <c r="C63" s="697"/>
      <c r="D63" s="698"/>
      <c r="E63" s="544"/>
      <c r="F63" s="697" t="s">
        <v>1</v>
      </c>
      <c r="G63" s="697"/>
      <c r="H63" s="697"/>
      <c r="I63" s="546"/>
      <c r="J63" s="696" t="s">
        <v>2</v>
      </c>
      <c r="K63" s="697"/>
      <c r="L63" s="697"/>
      <c r="M63" s="546"/>
    </row>
    <row r="64" spans="1:14" x14ac:dyDescent="0.2">
      <c r="A64" s="140"/>
      <c r="B64" s="152" t="s">
        <v>422</v>
      </c>
      <c r="C64" s="152" t="s">
        <v>423</v>
      </c>
      <c r="D64" s="243" t="s">
        <v>3</v>
      </c>
      <c r="E64" s="303" t="s">
        <v>29</v>
      </c>
      <c r="F64" s="152" t="s">
        <v>422</v>
      </c>
      <c r="G64" s="152" t="s">
        <v>423</v>
      </c>
      <c r="H64" s="243" t="s">
        <v>3</v>
      </c>
      <c r="I64" s="303" t="s">
        <v>29</v>
      </c>
      <c r="J64" s="152" t="s">
        <v>422</v>
      </c>
      <c r="K64" s="152" t="s">
        <v>423</v>
      </c>
      <c r="L64" s="243" t="s">
        <v>3</v>
      </c>
      <c r="M64" s="162" t="s">
        <v>29</v>
      </c>
    </row>
    <row r="65" spans="1:14" x14ac:dyDescent="0.2">
      <c r="A65" s="666"/>
      <c r="B65" s="156"/>
      <c r="C65" s="156"/>
      <c r="D65" s="244" t="s">
        <v>4</v>
      </c>
      <c r="E65" s="156" t="s">
        <v>30</v>
      </c>
      <c r="F65" s="161"/>
      <c r="G65" s="161"/>
      <c r="H65" s="243" t="s">
        <v>4</v>
      </c>
      <c r="I65" s="156" t="s">
        <v>30</v>
      </c>
      <c r="J65" s="161"/>
      <c r="K65" s="205"/>
      <c r="L65" s="156" t="s">
        <v>4</v>
      </c>
      <c r="M65" s="156" t="s">
        <v>30</v>
      </c>
    </row>
    <row r="66" spans="1:14" ht="15.75" x14ac:dyDescent="0.2">
      <c r="A66" s="14" t="s">
        <v>23</v>
      </c>
      <c r="B66" s="350"/>
      <c r="C66" s="350"/>
      <c r="D66" s="347"/>
      <c r="E66" s="11"/>
      <c r="F66" s="349"/>
      <c r="G66" s="349"/>
      <c r="H66" s="347"/>
      <c r="I66" s="11"/>
      <c r="J66" s="307"/>
      <c r="K66" s="314"/>
      <c r="L66" s="371"/>
      <c r="M66" s="11"/>
    </row>
    <row r="67" spans="1:14" x14ac:dyDescent="0.2">
      <c r="A67" s="365" t="s">
        <v>9</v>
      </c>
      <c r="B67" s="44"/>
      <c r="C67" s="145"/>
      <c r="D67" s="166"/>
      <c r="E67" s="27"/>
      <c r="F67" s="232"/>
      <c r="G67" s="145"/>
      <c r="H67" s="166"/>
      <c r="I67" s="27"/>
      <c r="J67" s="285"/>
      <c r="K67" s="44"/>
      <c r="L67" s="252"/>
      <c r="M67" s="27"/>
    </row>
    <row r="68" spans="1:14" x14ac:dyDescent="0.2">
      <c r="A68" s="21" t="s">
        <v>10</v>
      </c>
      <c r="B68" s="290"/>
      <c r="C68" s="291"/>
      <c r="D68" s="166"/>
      <c r="E68" s="27"/>
      <c r="F68" s="290"/>
      <c r="G68" s="291"/>
      <c r="H68" s="166"/>
      <c r="I68" s="27"/>
      <c r="J68" s="285"/>
      <c r="K68" s="44"/>
      <c r="L68" s="252"/>
      <c r="M68" s="27"/>
    </row>
    <row r="69" spans="1:14" ht="15.75" x14ac:dyDescent="0.2">
      <c r="A69" s="294" t="s">
        <v>386</v>
      </c>
      <c r="B69" s="279"/>
      <c r="C69" s="279"/>
      <c r="D69" s="166"/>
      <c r="E69" s="363"/>
      <c r="F69" s="279"/>
      <c r="G69" s="279"/>
      <c r="H69" s="166"/>
      <c r="I69" s="363"/>
      <c r="J69" s="288"/>
      <c r="K69" s="288"/>
      <c r="L69" s="166"/>
      <c r="M69" s="23"/>
    </row>
    <row r="70" spans="1:14" x14ac:dyDescent="0.2">
      <c r="A70" s="294" t="s">
        <v>12</v>
      </c>
      <c r="B70" s="292"/>
      <c r="C70" s="293"/>
      <c r="D70" s="166"/>
      <c r="E70" s="363"/>
      <c r="F70" s="279"/>
      <c r="G70" s="279"/>
      <c r="H70" s="166"/>
      <c r="I70" s="363"/>
      <c r="J70" s="288"/>
      <c r="K70" s="288"/>
      <c r="L70" s="166"/>
      <c r="M70" s="23"/>
    </row>
    <row r="71" spans="1:14" x14ac:dyDescent="0.2">
      <c r="A71" s="294" t="s">
        <v>13</v>
      </c>
      <c r="B71" s="233"/>
      <c r="C71" s="287"/>
      <c r="D71" s="166"/>
      <c r="E71" s="363"/>
      <c r="F71" s="279"/>
      <c r="G71" s="279"/>
      <c r="H71" s="166"/>
      <c r="I71" s="363"/>
      <c r="J71" s="288"/>
      <c r="K71" s="288"/>
      <c r="L71" s="166"/>
      <c r="M71" s="23"/>
    </row>
    <row r="72" spans="1:14" ht="15.75" x14ac:dyDescent="0.2">
      <c r="A72" s="294" t="s">
        <v>387</v>
      </c>
      <c r="B72" s="279"/>
      <c r="C72" s="279"/>
      <c r="D72" s="166"/>
      <c r="E72" s="363"/>
      <c r="F72" s="279"/>
      <c r="G72" s="279"/>
      <c r="H72" s="166"/>
      <c r="I72" s="363"/>
      <c r="J72" s="288"/>
      <c r="K72" s="288"/>
      <c r="L72" s="166"/>
      <c r="M72" s="23"/>
    </row>
    <row r="73" spans="1:14" x14ac:dyDescent="0.2">
      <c r="A73" s="294" t="s">
        <v>12</v>
      </c>
      <c r="B73" s="233"/>
      <c r="C73" s="287"/>
      <c r="D73" s="166"/>
      <c r="E73" s="363"/>
      <c r="F73" s="279"/>
      <c r="G73" s="279"/>
      <c r="H73" s="166"/>
      <c r="I73" s="363"/>
      <c r="J73" s="288"/>
      <c r="K73" s="288"/>
      <c r="L73" s="166"/>
      <c r="M73" s="23"/>
    </row>
    <row r="74" spans="1:14" s="3" customFormat="1" x14ac:dyDescent="0.2">
      <c r="A74" s="294" t="s">
        <v>13</v>
      </c>
      <c r="B74" s="233"/>
      <c r="C74" s="287"/>
      <c r="D74" s="166"/>
      <c r="E74" s="363"/>
      <c r="F74" s="279"/>
      <c r="G74" s="279"/>
      <c r="H74" s="166"/>
      <c r="I74" s="363"/>
      <c r="J74" s="288"/>
      <c r="K74" s="288"/>
      <c r="L74" s="166"/>
      <c r="M74" s="23"/>
      <c r="N74" s="148"/>
    </row>
    <row r="75" spans="1:14" s="3" customFormat="1" x14ac:dyDescent="0.2">
      <c r="A75" s="21" t="s">
        <v>356</v>
      </c>
      <c r="B75" s="232"/>
      <c r="C75" s="145"/>
      <c r="D75" s="166"/>
      <c r="E75" s="27"/>
      <c r="F75" s="232"/>
      <c r="G75" s="145"/>
      <c r="H75" s="166"/>
      <c r="I75" s="27"/>
      <c r="J75" s="285"/>
      <c r="K75" s="44"/>
      <c r="L75" s="252"/>
      <c r="M75" s="27"/>
      <c r="N75" s="148"/>
    </row>
    <row r="76" spans="1:14" s="3" customFormat="1" x14ac:dyDescent="0.2">
      <c r="A76" s="21" t="s">
        <v>355</v>
      </c>
      <c r="B76" s="232"/>
      <c r="C76" s="145"/>
      <c r="D76" s="166"/>
      <c r="E76" s="27"/>
      <c r="F76" s="232"/>
      <c r="G76" s="145"/>
      <c r="H76" s="166"/>
      <c r="I76" s="27"/>
      <c r="J76" s="285"/>
      <c r="K76" s="44"/>
      <c r="L76" s="252"/>
      <c r="M76" s="27"/>
      <c r="N76" s="148"/>
    </row>
    <row r="77" spans="1:14" ht="15.75" x14ac:dyDescent="0.2">
      <c r="A77" s="21" t="s">
        <v>388</v>
      </c>
      <c r="B77" s="232"/>
      <c r="C77" s="232"/>
      <c r="D77" s="166"/>
      <c r="E77" s="27"/>
      <c r="F77" s="232"/>
      <c r="G77" s="145"/>
      <c r="H77" s="166"/>
      <c r="I77" s="27"/>
      <c r="J77" s="285"/>
      <c r="K77" s="44"/>
      <c r="L77" s="252"/>
      <c r="M77" s="27"/>
    </row>
    <row r="78" spans="1:14" x14ac:dyDescent="0.2">
      <c r="A78" s="21" t="s">
        <v>9</v>
      </c>
      <c r="B78" s="232"/>
      <c r="C78" s="145"/>
      <c r="D78" s="166"/>
      <c r="E78" s="27"/>
      <c r="F78" s="232"/>
      <c r="G78" s="145"/>
      <c r="H78" s="166"/>
      <c r="I78" s="27"/>
      <c r="J78" s="285"/>
      <c r="K78" s="44"/>
      <c r="L78" s="252"/>
      <c r="M78" s="27"/>
    </row>
    <row r="79" spans="1:14" x14ac:dyDescent="0.2">
      <c r="A79" s="21" t="s">
        <v>10</v>
      </c>
      <c r="B79" s="290"/>
      <c r="C79" s="291"/>
      <c r="D79" s="166"/>
      <c r="E79" s="27"/>
      <c r="F79" s="290"/>
      <c r="G79" s="291"/>
      <c r="H79" s="166"/>
      <c r="I79" s="27"/>
      <c r="J79" s="285"/>
      <c r="K79" s="44"/>
      <c r="L79" s="252"/>
      <c r="M79" s="27"/>
    </row>
    <row r="80" spans="1:14" ht="15.75" x14ac:dyDescent="0.2">
      <c r="A80" s="294" t="s">
        <v>386</v>
      </c>
      <c r="B80" s="279"/>
      <c r="C80" s="279"/>
      <c r="D80" s="166"/>
      <c r="E80" s="363"/>
      <c r="F80" s="279"/>
      <c r="G80" s="279"/>
      <c r="H80" s="166"/>
      <c r="I80" s="363"/>
      <c r="J80" s="288"/>
      <c r="K80" s="288"/>
      <c r="L80" s="166"/>
      <c r="M80" s="23"/>
    </row>
    <row r="81" spans="1:13" x14ac:dyDescent="0.2">
      <c r="A81" s="294" t="s">
        <v>12</v>
      </c>
      <c r="B81" s="233"/>
      <c r="C81" s="287"/>
      <c r="D81" s="166"/>
      <c r="E81" s="363"/>
      <c r="F81" s="279"/>
      <c r="G81" s="279"/>
      <c r="H81" s="166"/>
      <c r="I81" s="363"/>
      <c r="J81" s="288"/>
      <c r="K81" s="288"/>
      <c r="L81" s="166"/>
      <c r="M81" s="23"/>
    </row>
    <row r="82" spans="1:13" x14ac:dyDescent="0.2">
      <c r="A82" s="294" t="s">
        <v>13</v>
      </c>
      <c r="B82" s="233"/>
      <c r="C82" s="287"/>
      <c r="D82" s="166"/>
      <c r="E82" s="363"/>
      <c r="F82" s="279"/>
      <c r="G82" s="279"/>
      <c r="H82" s="166"/>
      <c r="I82" s="363"/>
      <c r="J82" s="288"/>
      <c r="K82" s="288"/>
      <c r="L82" s="166"/>
      <c r="M82" s="23"/>
    </row>
    <row r="83" spans="1:13" ht="15.75" x14ac:dyDescent="0.2">
      <c r="A83" s="294" t="s">
        <v>387</v>
      </c>
      <c r="B83" s="279"/>
      <c r="C83" s="279"/>
      <c r="D83" s="166"/>
      <c r="E83" s="363"/>
      <c r="F83" s="279"/>
      <c r="G83" s="279"/>
      <c r="H83" s="166"/>
      <c r="I83" s="363"/>
      <c r="J83" s="288"/>
      <c r="K83" s="288"/>
      <c r="L83" s="166"/>
      <c r="M83" s="23"/>
    </row>
    <row r="84" spans="1:13" x14ac:dyDescent="0.2">
      <c r="A84" s="294" t="s">
        <v>12</v>
      </c>
      <c r="B84" s="233"/>
      <c r="C84" s="287"/>
      <c r="D84" s="166"/>
      <c r="E84" s="363"/>
      <c r="F84" s="279"/>
      <c r="G84" s="279"/>
      <c r="H84" s="166"/>
      <c r="I84" s="363"/>
      <c r="J84" s="288"/>
      <c r="K84" s="288"/>
      <c r="L84" s="166"/>
      <c r="M84" s="23"/>
    </row>
    <row r="85" spans="1:13" x14ac:dyDescent="0.2">
      <c r="A85" s="294" t="s">
        <v>13</v>
      </c>
      <c r="B85" s="233"/>
      <c r="C85" s="287"/>
      <c r="D85" s="166"/>
      <c r="E85" s="363"/>
      <c r="F85" s="279"/>
      <c r="G85" s="279"/>
      <c r="H85" s="166"/>
      <c r="I85" s="363"/>
      <c r="J85" s="288"/>
      <c r="K85" s="288"/>
      <c r="L85" s="166"/>
      <c r="M85" s="23"/>
    </row>
    <row r="86" spans="1:13" ht="15.75" x14ac:dyDescent="0.2">
      <c r="A86" s="21" t="s">
        <v>389</v>
      </c>
      <c r="B86" s="232"/>
      <c r="C86" s="145"/>
      <c r="D86" s="166"/>
      <c r="E86" s="27"/>
      <c r="F86" s="232"/>
      <c r="G86" s="145"/>
      <c r="H86" s="166"/>
      <c r="I86" s="27"/>
      <c r="J86" s="285"/>
      <c r="K86" s="44"/>
      <c r="L86" s="252"/>
      <c r="M86" s="27"/>
    </row>
    <row r="87" spans="1:13" ht="15.75" x14ac:dyDescent="0.2">
      <c r="A87" s="13" t="s">
        <v>371</v>
      </c>
      <c r="B87" s="350"/>
      <c r="C87" s="350"/>
      <c r="D87" s="171"/>
      <c r="E87" s="11"/>
      <c r="F87" s="349"/>
      <c r="G87" s="349"/>
      <c r="H87" s="171"/>
      <c r="I87" s="11"/>
      <c r="J87" s="307"/>
      <c r="K87" s="234"/>
      <c r="L87" s="371"/>
      <c r="M87" s="11"/>
    </row>
    <row r="88" spans="1:13" x14ac:dyDescent="0.2">
      <c r="A88" s="21" t="s">
        <v>9</v>
      </c>
      <c r="B88" s="232"/>
      <c r="C88" s="145"/>
      <c r="D88" s="166"/>
      <c r="E88" s="27"/>
      <c r="F88" s="232"/>
      <c r="G88" s="145"/>
      <c r="H88" s="166"/>
      <c r="I88" s="27"/>
      <c r="J88" s="285"/>
      <c r="K88" s="44"/>
      <c r="L88" s="252"/>
      <c r="M88" s="27"/>
    </row>
    <row r="89" spans="1:13" x14ac:dyDescent="0.2">
      <c r="A89" s="21" t="s">
        <v>10</v>
      </c>
      <c r="B89" s="232"/>
      <c r="C89" s="145"/>
      <c r="D89" s="166"/>
      <c r="E89" s="27"/>
      <c r="F89" s="232"/>
      <c r="G89" s="145"/>
      <c r="H89" s="166"/>
      <c r="I89" s="27"/>
      <c r="J89" s="285"/>
      <c r="K89" s="44"/>
      <c r="L89" s="252"/>
      <c r="M89" s="27"/>
    </row>
    <row r="90" spans="1:13" ht="15.75" x14ac:dyDescent="0.2">
      <c r="A90" s="294" t="s">
        <v>386</v>
      </c>
      <c r="B90" s="279"/>
      <c r="C90" s="279"/>
      <c r="D90" s="166"/>
      <c r="E90" s="363"/>
      <c r="F90" s="279"/>
      <c r="G90" s="279"/>
      <c r="H90" s="166"/>
      <c r="I90" s="363"/>
      <c r="J90" s="288"/>
      <c r="K90" s="288"/>
      <c r="L90" s="166"/>
      <c r="M90" s="23"/>
    </row>
    <row r="91" spans="1:13" x14ac:dyDescent="0.2">
      <c r="A91" s="294" t="s">
        <v>12</v>
      </c>
      <c r="B91" s="233"/>
      <c r="C91" s="287"/>
      <c r="D91" s="166"/>
      <c r="E91" s="363"/>
      <c r="F91" s="279"/>
      <c r="G91" s="279"/>
      <c r="H91" s="166"/>
      <c r="I91" s="363"/>
      <c r="J91" s="288"/>
      <c r="K91" s="288"/>
      <c r="L91" s="166"/>
      <c r="M91" s="23"/>
    </row>
    <row r="92" spans="1:13" x14ac:dyDescent="0.2">
      <c r="A92" s="294" t="s">
        <v>13</v>
      </c>
      <c r="B92" s="233"/>
      <c r="C92" s="287"/>
      <c r="D92" s="166"/>
      <c r="E92" s="363"/>
      <c r="F92" s="279"/>
      <c r="G92" s="279"/>
      <c r="H92" s="166"/>
      <c r="I92" s="363"/>
      <c r="J92" s="288"/>
      <c r="K92" s="288"/>
      <c r="L92" s="166"/>
      <c r="M92" s="23"/>
    </row>
    <row r="93" spans="1:13" ht="15.75" x14ac:dyDescent="0.2">
      <c r="A93" s="294" t="s">
        <v>387</v>
      </c>
      <c r="B93" s="279"/>
      <c r="C93" s="279"/>
      <c r="D93" s="166"/>
      <c r="E93" s="363"/>
      <c r="F93" s="279"/>
      <c r="G93" s="279"/>
      <c r="H93" s="166"/>
      <c r="I93" s="363"/>
      <c r="J93" s="288"/>
      <c r="K93" s="288"/>
      <c r="L93" s="166"/>
      <c r="M93" s="23"/>
    </row>
    <row r="94" spans="1:13" x14ac:dyDescent="0.2">
      <c r="A94" s="294" t="s">
        <v>12</v>
      </c>
      <c r="B94" s="233"/>
      <c r="C94" s="287"/>
      <c r="D94" s="166"/>
      <c r="E94" s="363"/>
      <c r="F94" s="279"/>
      <c r="G94" s="279"/>
      <c r="H94" s="166"/>
      <c r="I94" s="363"/>
      <c r="J94" s="288"/>
      <c r="K94" s="288"/>
      <c r="L94" s="166"/>
      <c r="M94" s="23"/>
    </row>
    <row r="95" spans="1:13" x14ac:dyDescent="0.2">
      <c r="A95" s="294" t="s">
        <v>13</v>
      </c>
      <c r="B95" s="233"/>
      <c r="C95" s="287"/>
      <c r="D95" s="166"/>
      <c r="E95" s="363"/>
      <c r="F95" s="279"/>
      <c r="G95" s="279"/>
      <c r="H95" s="166"/>
      <c r="I95" s="363"/>
      <c r="J95" s="288"/>
      <c r="K95" s="288"/>
      <c r="L95" s="166"/>
      <c r="M95" s="23"/>
    </row>
    <row r="96" spans="1:13" x14ac:dyDescent="0.2">
      <c r="A96" s="21" t="s">
        <v>354</v>
      </c>
      <c r="B96" s="232"/>
      <c r="C96" s="145"/>
      <c r="D96" s="166"/>
      <c r="E96" s="27"/>
      <c r="F96" s="232"/>
      <c r="G96" s="145"/>
      <c r="H96" s="166"/>
      <c r="I96" s="27"/>
      <c r="J96" s="285"/>
      <c r="K96" s="44"/>
      <c r="L96" s="252"/>
      <c r="M96" s="27"/>
    </row>
    <row r="97" spans="1:13" x14ac:dyDescent="0.2">
      <c r="A97" s="21" t="s">
        <v>353</v>
      </c>
      <c r="B97" s="232"/>
      <c r="C97" s="145"/>
      <c r="D97" s="166"/>
      <c r="E97" s="27"/>
      <c r="F97" s="232"/>
      <c r="G97" s="145"/>
      <c r="H97" s="166"/>
      <c r="I97" s="27"/>
      <c r="J97" s="285"/>
      <c r="K97" s="44"/>
      <c r="L97" s="252"/>
      <c r="M97" s="27"/>
    </row>
    <row r="98" spans="1:13" ht="15.75" x14ac:dyDescent="0.2">
      <c r="A98" s="21" t="s">
        <v>388</v>
      </c>
      <c r="B98" s="232"/>
      <c r="C98" s="232"/>
      <c r="D98" s="166"/>
      <c r="E98" s="27"/>
      <c r="F98" s="290"/>
      <c r="G98" s="290"/>
      <c r="H98" s="166"/>
      <c r="I98" s="27"/>
      <c r="J98" s="285"/>
      <c r="K98" s="44"/>
      <c r="L98" s="252"/>
      <c r="M98" s="27"/>
    </row>
    <row r="99" spans="1:13" x14ac:dyDescent="0.2">
      <c r="A99" s="21" t="s">
        <v>9</v>
      </c>
      <c r="B99" s="290"/>
      <c r="C99" s="291"/>
      <c r="D99" s="166"/>
      <c r="E99" s="27"/>
      <c r="F99" s="232"/>
      <c r="G99" s="145"/>
      <c r="H99" s="166"/>
      <c r="I99" s="27"/>
      <c r="J99" s="285"/>
      <c r="K99" s="44"/>
      <c r="L99" s="252"/>
      <c r="M99" s="27"/>
    </row>
    <row r="100" spans="1:13" x14ac:dyDescent="0.2">
      <c r="A100" s="21" t="s">
        <v>10</v>
      </c>
      <c r="B100" s="290"/>
      <c r="C100" s="291"/>
      <c r="D100" s="166"/>
      <c r="E100" s="27"/>
      <c r="F100" s="232"/>
      <c r="G100" s="232"/>
      <c r="H100" s="166"/>
      <c r="I100" s="27"/>
      <c r="J100" s="285"/>
      <c r="K100" s="44"/>
      <c r="L100" s="252"/>
      <c r="M100" s="27"/>
    </row>
    <row r="101" spans="1:13" ht="15.75" x14ac:dyDescent="0.2">
      <c r="A101" s="294" t="s">
        <v>386</v>
      </c>
      <c r="B101" s="279"/>
      <c r="C101" s="279"/>
      <c r="D101" s="166"/>
      <c r="E101" s="363"/>
      <c r="F101" s="279"/>
      <c r="G101" s="279"/>
      <c r="H101" s="166"/>
      <c r="I101" s="363"/>
      <c r="J101" s="288"/>
      <c r="K101" s="288"/>
      <c r="L101" s="166"/>
      <c r="M101" s="23"/>
    </row>
    <row r="102" spans="1:13" x14ac:dyDescent="0.2">
      <c r="A102" s="294" t="s">
        <v>12</v>
      </c>
      <c r="B102" s="233"/>
      <c r="C102" s="287"/>
      <c r="D102" s="166"/>
      <c r="E102" s="363"/>
      <c r="F102" s="279"/>
      <c r="G102" s="279"/>
      <c r="H102" s="166"/>
      <c r="I102" s="363"/>
      <c r="J102" s="288"/>
      <c r="K102" s="288"/>
      <c r="L102" s="166"/>
      <c r="M102" s="23"/>
    </row>
    <row r="103" spans="1:13" x14ac:dyDescent="0.2">
      <c r="A103" s="294" t="s">
        <v>13</v>
      </c>
      <c r="B103" s="233"/>
      <c r="C103" s="287"/>
      <c r="D103" s="166"/>
      <c r="E103" s="363"/>
      <c r="F103" s="279"/>
      <c r="G103" s="279"/>
      <c r="H103" s="166"/>
      <c r="I103" s="363"/>
      <c r="J103" s="288"/>
      <c r="K103" s="288"/>
      <c r="L103" s="166"/>
      <c r="M103" s="23"/>
    </row>
    <row r="104" spans="1:13" ht="15.75" x14ac:dyDescent="0.2">
      <c r="A104" s="294" t="s">
        <v>387</v>
      </c>
      <c r="B104" s="279"/>
      <c r="C104" s="279"/>
      <c r="D104" s="166"/>
      <c r="E104" s="363"/>
      <c r="F104" s="279"/>
      <c r="G104" s="279"/>
      <c r="H104" s="166"/>
      <c r="I104" s="363"/>
      <c r="J104" s="288"/>
      <c r="K104" s="288"/>
      <c r="L104" s="166"/>
      <c r="M104" s="23"/>
    </row>
    <row r="105" spans="1:13" x14ac:dyDescent="0.2">
      <c r="A105" s="294" t="s">
        <v>12</v>
      </c>
      <c r="B105" s="233"/>
      <c r="C105" s="287"/>
      <c r="D105" s="166"/>
      <c r="E105" s="363"/>
      <c r="F105" s="279"/>
      <c r="G105" s="279"/>
      <c r="H105" s="166"/>
      <c r="I105" s="363"/>
      <c r="J105" s="288"/>
      <c r="K105" s="288"/>
      <c r="L105" s="166"/>
      <c r="M105" s="23"/>
    </row>
    <row r="106" spans="1:13" x14ac:dyDescent="0.2">
      <c r="A106" s="294" t="s">
        <v>13</v>
      </c>
      <c r="B106" s="233"/>
      <c r="C106" s="287"/>
      <c r="D106" s="166"/>
      <c r="E106" s="363"/>
      <c r="F106" s="279"/>
      <c r="G106" s="279"/>
      <c r="H106" s="166"/>
      <c r="I106" s="363"/>
      <c r="J106" s="288"/>
      <c r="K106" s="288"/>
      <c r="L106" s="166"/>
      <c r="M106" s="23"/>
    </row>
    <row r="107" spans="1:13" ht="15.75" x14ac:dyDescent="0.2">
      <c r="A107" s="21" t="s">
        <v>389</v>
      </c>
      <c r="B107" s="232"/>
      <c r="C107" s="145"/>
      <c r="D107" s="166"/>
      <c r="E107" s="27"/>
      <c r="F107" s="232"/>
      <c r="G107" s="145"/>
      <c r="H107" s="166"/>
      <c r="I107" s="27"/>
      <c r="J107" s="285"/>
      <c r="K107" s="44"/>
      <c r="L107" s="252"/>
      <c r="M107" s="27"/>
    </row>
    <row r="108" spans="1:13" ht="15.75" x14ac:dyDescent="0.2">
      <c r="A108" s="21" t="s">
        <v>390</v>
      </c>
      <c r="B108" s="232"/>
      <c r="C108" s="232"/>
      <c r="D108" s="166"/>
      <c r="E108" s="27"/>
      <c r="F108" s="232"/>
      <c r="G108" s="232"/>
      <c r="H108" s="166"/>
      <c r="I108" s="27"/>
      <c r="J108" s="285"/>
      <c r="K108" s="44"/>
      <c r="L108" s="252"/>
      <c r="M108" s="27"/>
    </row>
    <row r="109" spans="1:13" ht="15.75" x14ac:dyDescent="0.2">
      <c r="A109" s="21" t="s">
        <v>391</v>
      </c>
      <c r="B109" s="232"/>
      <c r="C109" s="232"/>
      <c r="D109" s="166"/>
      <c r="E109" s="27"/>
      <c r="F109" s="232"/>
      <c r="G109" s="232"/>
      <c r="H109" s="166"/>
      <c r="I109" s="27"/>
      <c r="J109" s="285"/>
      <c r="K109" s="44"/>
      <c r="L109" s="252"/>
      <c r="M109" s="27"/>
    </row>
    <row r="110" spans="1:13" ht="15.75" x14ac:dyDescent="0.2">
      <c r="A110" s="21" t="s">
        <v>392</v>
      </c>
      <c r="B110" s="232"/>
      <c r="C110" s="232"/>
      <c r="D110" s="166"/>
      <c r="E110" s="27"/>
      <c r="F110" s="232"/>
      <c r="G110" s="232"/>
      <c r="H110" s="166"/>
      <c r="I110" s="27"/>
      <c r="J110" s="285"/>
      <c r="K110" s="44"/>
      <c r="L110" s="252"/>
      <c r="M110" s="27"/>
    </row>
    <row r="111" spans="1:13" ht="15.75" x14ac:dyDescent="0.2">
      <c r="A111" s="13" t="s">
        <v>372</v>
      </c>
      <c r="B111" s="306"/>
      <c r="C111" s="159"/>
      <c r="D111" s="171"/>
      <c r="E111" s="11"/>
      <c r="F111" s="306"/>
      <c r="G111" s="159"/>
      <c r="H111" s="171"/>
      <c r="I111" s="11"/>
      <c r="J111" s="307"/>
      <c r="K111" s="234"/>
      <c r="L111" s="371"/>
      <c r="M111" s="11"/>
    </row>
    <row r="112" spans="1:13" x14ac:dyDescent="0.2">
      <c r="A112" s="21" t="s">
        <v>9</v>
      </c>
      <c r="B112" s="232"/>
      <c r="C112" s="145"/>
      <c r="D112" s="166"/>
      <c r="E112" s="27"/>
      <c r="F112" s="232"/>
      <c r="G112" s="145"/>
      <c r="H112" s="166"/>
      <c r="I112" s="27"/>
      <c r="J112" s="285"/>
      <c r="K112" s="44"/>
      <c r="L112" s="252"/>
      <c r="M112" s="27"/>
    </row>
    <row r="113" spans="1:14" x14ac:dyDescent="0.2">
      <c r="A113" s="21" t="s">
        <v>10</v>
      </c>
      <c r="B113" s="232"/>
      <c r="C113" s="145"/>
      <c r="D113" s="166"/>
      <c r="E113" s="27"/>
      <c r="F113" s="232"/>
      <c r="G113" s="145"/>
      <c r="H113" s="166"/>
      <c r="I113" s="27"/>
      <c r="J113" s="285"/>
      <c r="K113" s="44"/>
      <c r="L113" s="252"/>
      <c r="M113" s="27"/>
    </row>
    <row r="114" spans="1:14" x14ac:dyDescent="0.2">
      <c r="A114" s="21" t="s">
        <v>26</v>
      </c>
      <c r="B114" s="232"/>
      <c r="C114" s="145"/>
      <c r="D114" s="166"/>
      <c r="E114" s="27"/>
      <c r="F114" s="232"/>
      <c r="G114" s="145"/>
      <c r="H114" s="166"/>
      <c r="I114" s="27"/>
      <c r="J114" s="285"/>
      <c r="K114" s="44"/>
      <c r="L114" s="252"/>
      <c r="M114" s="27"/>
    </row>
    <row r="115" spans="1:14" x14ac:dyDescent="0.2">
      <c r="A115" s="294" t="s">
        <v>15</v>
      </c>
      <c r="B115" s="279"/>
      <c r="C115" s="279"/>
      <c r="D115" s="166"/>
      <c r="E115" s="363"/>
      <c r="F115" s="279"/>
      <c r="G115" s="279"/>
      <c r="H115" s="166"/>
      <c r="I115" s="363"/>
      <c r="J115" s="288"/>
      <c r="K115" s="288"/>
      <c r="L115" s="166"/>
      <c r="M115" s="23"/>
    </row>
    <row r="116" spans="1:14" ht="15.75" x14ac:dyDescent="0.2">
      <c r="A116" s="21" t="s">
        <v>393</v>
      </c>
      <c r="B116" s="232"/>
      <c r="C116" s="232"/>
      <c r="D116" s="166"/>
      <c r="E116" s="27"/>
      <c r="F116" s="232"/>
      <c r="G116" s="232"/>
      <c r="H116" s="166"/>
      <c r="I116" s="27"/>
      <c r="J116" s="285"/>
      <c r="K116" s="44"/>
      <c r="L116" s="252"/>
      <c r="M116" s="27"/>
    </row>
    <row r="117" spans="1:14" ht="15.75" x14ac:dyDescent="0.2">
      <c r="A117" s="21" t="s">
        <v>394</v>
      </c>
      <c r="B117" s="232"/>
      <c r="C117" s="232"/>
      <c r="D117" s="166"/>
      <c r="E117" s="27"/>
      <c r="F117" s="232"/>
      <c r="G117" s="232"/>
      <c r="H117" s="166"/>
      <c r="I117" s="27"/>
      <c r="J117" s="285"/>
      <c r="K117" s="44"/>
      <c r="L117" s="252"/>
      <c r="M117" s="27"/>
    </row>
    <row r="118" spans="1:14" ht="15.75" x14ac:dyDescent="0.2">
      <c r="A118" s="21" t="s">
        <v>392</v>
      </c>
      <c r="B118" s="232"/>
      <c r="C118" s="232"/>
      <c r="D118" s="166"/>
      <c r="E118" s="27"/>
      <c r="F118" s="232"/>
      <c r="G118" s="232"/>
      <c r="H118" s="166"/>
      <c r="I118" s="27"/>
      <c r="J118" s="285"/>
      <c r="K118" s="44"/>
      <c r="L118" s="252"/>
      <c r="M118" s="27"/>
    </row>
    <row r="119" spans="1:14" ht="15.75" x14ac:dyDescent="0.2">
      <c r="A119" s="13" t="s">
        <v>373</v>
      </c>
      <c r="B119" s="306"/>
      <c r="C119" s="159"/>
      <c r="D119" s="171"/>
      <c r="E119" s="11"/>
      <c r="F119" s="306"/>
      <c r="G119" s="159"/>
      <c r="H119" s="171"/>
      <c r="I119" s="11"/>
      <c r="J119" s="307"/>
      <c r="K119" s="234"/>
      <c r="L119" s="371"/>
      <c r="M119" s="11"/>
    </row>
    <row r="120" spans="1:14" x14ac:dyDescent="0.2">
      <c r="A120" s="21" t="s">
        <v>9</v>
      </c>
      <c r="B120" s="232"/>
      <c r="C120" s="145"/>
      <c r="D120" s="166"/>
      <c r="E120" s="27"/>
      <c r="F120" s="232"/>
      <c r="G120" s="145"/>
      <c r="H120" s="166"/>
      <c r="I120" s="27"/>
      <c r="J120" s="285"/>
      <c r="K120" s="44"/>
      <c r="L120" s="252"/>
      <c r="M120" s="27"/>
    </row>
    <row r="121" spans="1:14" x14ac:dyDescent="0.2">
      <c r="A121" s="21" t="s">
        <v>10</v>
      </c>
      <c r="B121" s="232"/>
      <c r="C121" s="145"/>
      <c r="D121" s="166"/>
      <c r="E121" s="27"/>
      <c r="F121" s="232"/>
      <c r="G121" s="145"/>
      <c r="H121" s="166"/>
      <c r="I121" s="27"/>
      <c r="J121" s="285"/>
      <c r="K121" s="44"/>
      <c r="L121" s="252"/>
      <c r="M121" s="27"/>
    </row>
    <row r="122" spans="1:14" x14ac:dyDescent="0.2">
      <c r="A122" s="21" t="s">
        <v>26</v>
      </c>
      <c r="B122" s="232"/>
      <c r="C122" s="145"/>
      <c r="D122" s="166"/>
      <c r="E122" s="27"/>
      <c r="F122" s="232"/>
      <c r="G122" s="145"/>
      <c r="H122" s="166"/>
      <c r="I122" s="27"/>
      <c r="J122" s="285"/>
      <c r="K122" s="44"/>
      <c r="L122" s="252"/>
      <c r="M122" s="27"/>
    </row>
    <row r="123" spans="1:14" x14ac:dyDescent="0.2">
      <c r="A123" s="294" t="s">
        <v>14</v>
      </c>
      <c r="B123" s="279"/>
      <c r="C123" s="279"/>
      <c r="D123" s="166"/>
      <c r="E123" s="363"/>
      <c r="F123" s="279"/>
      <c r="G123" s="279"/>
      <c r="H123" s="166"/>
      <c r="I123" s="363"/>
      <c r="J123" s="288"/>
      <c r="K123" s="288"/>
      <c r="L123" s="166"/>
      <c r="M123" s="23"/>
    </row>
    <row r="124" spans="1:14" ht="15.75" x14ac:dyDescent="0.2">
      <c r="A124" s="21" t="s">
        <v>399</v>
      </c>
      <c r="B124" s="232"/>
      <c r="C124" s="232"/>
      <c r="D124" s="166"/>
      <c r="E124" s="27"/>
      <c r="F124" s="232"/>
      <c r="G124" s="232"/>
      <c r="H124" s="166"/>
      <c r="I124" s="27"/>
      <c r="J124" s="285"/>
      <c r="K124" s="44"/>
      <c r="L124" s="252"/>
      <c r="M124" s="27"/>
    </row>
    <row r="125" spans="1:14" ht="15.75" x14ac:dyDescent="0.2">
      <c r="A125" s="21" t="s">
        <v>391</v>
      </c>
      <c r="B125" s="232"/>
      <c r="C125" s="232"/>
      <c r="D125" s="166"/>
      <c r="E125" s="27"/>
      <c r="F125" s="232"/>
      <c r="G125" s="232"/>
      <c r="H125" s="166"/>
      <c r="I125" s="27"/>
      <c r="J125" s="285"/>
      <c r="K125" s="44"/>
      <c r="L125" s="252"/>
      <c r="M125" s="27"/>
    </row>
    <row r="126" spans="1:14" ht="15.75" x14ac:dyDescent="0.2">
      <c r="A126" s="10" t="s">
        <v>392</v>
      </c>
      <c r="B126" s="45"/>
      <c r="C126" s="45"/>
      <c r="D126" s="167"/>
      <c r="E126" s="364"/>
      <c r="F126" s="45"/>
      <c r="G126" s="45"/>
      <c r="H126" s="167"/>
      <c r="I126" s="22"/>
      <c r="J126" s="286"/>
      <c r="K126" s="45"/>
      <c r="L126" s="253"/>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95"/>
      <c r="C130" s="695"/>
      <c r="D130" s="695"/>
      <c r="E130" s="547"/>
      <c r="F130" s="695"/>
      <c r="G130" s="695"/>
      <c r="H130" s="695"/>
      <c r="I130" s="547"/>
      <c r="J130" s="695"/>
      <c r="K130" s="695"/>
      <c r="L130" s="695"/>
      <c r="M130" s="547"/>
    </row>
    <row r="131" spans="1:14" s="3" customFormat="1" x14ac:dyDescent="0.2">
      <c r="A131" s="144"/>
      <c r="B131" s="696" t="s">
        <v>0</v>
      </c>
      <c r="C131" s="697"/>
      <c r="D131" s="697"/>
      <c r="E131" s="545"/>
      <c r="F131" s="696" t="s">
        <v>1</v>
      </c>
      <c r="G131" s="697"/>
      <c r="H131" s="697"/>
      <c r="I131" s="546"/>
      <c r="J131" s="696" t="s">
        <v>2</v>
      </c>
      <c r="K131" s="697"/>
      <c r="L131" s="697"/>
      <c r="M131" s="546"/>
      <c r="N131" s="148"/>
    </row>
    <row r="132" spans="1:14" s="3" customFormat="1" x14ac:dyDescent="0.2">
      <c r="A132" s="140"/>
      <c r="B132" s="152" t="s">
        <v>422</v>
      </c>
      <c r="C132" s="152" t="s">
        <v>423</v>
      </c>
      <c r="D132" s="243" t="s">
        <v>3</v>
      </c>
      <c r="E132" s="303" t="s">
        <v>29</v>
      </c>
      <c r="F132" s="152" t="s">
        <v>422</v>
      </c>
      <c r="G132" s="152" t="s">
        <v>423</v>
      </c>
      <c r="H132" s="205" t="s">
        <v>3</v>
      </c>
      <c r="I132" s="162" t="s">
        <v>29</v>
      </c>
      <c r="J132" s="152" t="s">
        <v>422</v>
      </c>
      <c r="K132" s="152" t="s">
        <v>423</v>
      </c>
      <c r="L132" s="244" t="s">
        <v>3</v>
      </c>
      <c r="M132" s="162" t="s">
        <v>29</v>
      </c>
      <c r="N132" s="148"/>
    </row>
    <row r="133" spans="1:14" s="3" customFormat="1" x14ac:dyDescent="0.2">
      <c r="A133" s="666"/>
      <c r="B133" s="156"/>
      <c r="C133" s="156"/>
      <c r="D133" s="244" t="s">
        <v>4</v>
      </c>
      <c r="E133" s="156" t="s">
        <v>30</v>
      </c>
      <c r="F133" s="161"/>
      <c r="G133" s="161"/>
      <c r="H133" s="205" t="s">
        <v>4</v>
      </c>
      <c r="I133" s="156" t="s">
        <v>30</v>
      </c>
      <c r="J133" s="156"/>
      <c r="K133" s="156"/>
      <c r="L133" s="150" t="s">
        <v>4</v>
      </c>
      <c r="M133" s="156" t="s">
        <v>30</v>
      </c>
      <c r="N133" s="148"/>
    </row>
    <row r="134" spans="1:14" s="3" customFormat="1" ht="15.75" x14ac:dyDescent="0.2">
      <c r="A134" s="14" t="s">
        <v>395</v>
      </c>
      <c r="B134" s="234"/>
      <c r="C134" s="307"/>
      <c r="D134" s="347"/>
      <c r="E134" s="11"/>
      <c r="F134" s="314"/>
      <c r="G134" s="315"/>
      <c r="H134" s="374"/>
      <c r="I134" s="24"/>
      <c r="J134" s="316"/>
      <c r="K134" s="316"/>
      <c r="L134" s="370"/>
      <c r="M134" s="11"/>
      <c r="N134" s="148"/>
    </row>
    <row r="135" spans="1:14" s="3" customFormat="1" ht="15.75" x14ac:dyDescent="0.2">
      <c r="A135" s="13" t="s">
        <v>400</v>
      </c>
      <c r="B135" s="234"/>
      <c r="C135" s="307"/>
      <c r="D135" s="171"/>
      <c r="E135" s="11"/>
      <c r="F135" s="234"/>
      <c r="G135" s="307"/>
      <c r="H135" s="375"/>
      <c r="I135" s="24"/>
      <c r="J135" s="306"/>
      <c r="K135" s="306"/>
      <c r="L135" s="371"/>
      <c r="M135" s="11"/>
      <c r="N135" s="148"/>
    </row>
    <row r="136" spans="1:14" s="3" customFormat="1" ht="15.75" x14ac:dyDescent="0.2">
      <c r="A136" s="13" t="s">
        <v>397</v>
      </c>
      <c r="B136" s="234"/>
      <c r="C136" s="307"/>
      <c r="D136" s="171"/>
      <c r="E136" s="11"/>
      <c r="F136" s="234"/>
      <c r="G136" s="307"/>
      <c r="H136" s="375"/>
      <c r="I136" s="24"/>
      <c r="J136" s="306"/>
      <c r="K136" s="306"/>
      <c r="L136" s="371"/>
      <c r="M136" s="11"/>
      <c r="N136" s="148"/>
    </row>
    <row r="137" spans="1:14" s="3" customFormat="1" ht="15.75" x14ac:dyDescent="0.2">
      <c r="A137" s="41" t="s">
        <v>398</v>
      </c>
      <c r="B137" s="274"/>
      <c r="C137" s="313"/>
      <c r="D137" s="169"/>
      <c r="E137" s="9"/>
      <c r="F137" s="274"/>
      <c r="G137" s="313"/>
      <c r="H137" s="376"/>
      <c r="I137" s="36"/>
      <c r="J137" s="312"/>
      <c r="K137" s="312"/>
      <c r="L137" s="372"/>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573" priority="82">
      <formula>kvartal &lt; 4</formula>
    </cfRule>
  </conditionalFormatting>
  <conditionalFormatting sqref="B69">
    <cfRule type="expression" dxfId="572" priority="61">
      <formula>kvartal &lt; 4</formula>
    </cfRule>
  </conditionalFormatting>
  <conditionalFormatting sqref="C69">
    <cfRule type="expression" dxfId="571" priority="60">
      <formula>kvartal &lt; 4</formula>
    </cfRule>
  </conditionalFormatting>
  <conditionalFormatting sqref="B72">
    <cfRule type="expression" dxfId="570" priority="59">
      <formula>kvartal &lt; 4</formula>
    </cfRule>
  </conditionalFormatting>
  <conditionalFormatting sqref="C72">
    <cfRule type="expression" dxfId="569" priority="58">
      <formula>kvartal &lt; 4</formula>
    </cfRule>
  </conditionalFormatting>
  <conditionalFormatting sqref="B80">
    <cfRule type="expression" dxfId="568" priority="57">
      <formula>kvartal &lt; 4</formula>
    </cfRule>
  </conditionalFormatting>
  <conditionalFormatting sqref="C80">
    <cfRule type="expression" dxfId="567" priority="56">
      <formula>kvartal &lt; 4</formula>
    </cfRule>
  </conditionalFormatting>
  <conditionalFormatting sqref="B83">
    <cfRule type="expression" dxfId="566" priority="55">
      <formula>kvartal &lt; 4</formula>
    </cfRule>
  </conditionalFormatting>
  <conditionalFormatting sqref="C83">
    <cfRule type="expression" dxfId="565" priority="54">
      <formula>kvartal &lt; 4</formula>
    </cfRule>
  </conditionalFormatting>
  <conditionalFormatting sqref="B90">
    <cfRule type="expression" dxfId="564" priority="53">
      <formula>kvartal &lt; 4</formula>
    </cfRule>
  </conditionalFormatting>
  <conditionalFormatting sqref="C90">
    <cfRule type="expression" dxfId="563" priority="52">
      <formula>kvartal &lt; 4</formula>
    </cfRule>
  </conditionalFormatting>
  <conditionalFormatting sqref="B93">
    <cfRule type="expression" dxfId="562" priority="51">
      <formula>kvartal &lt; 4</formula>
    </cfRule>
  </conditionalFormatting>
  <conditionalFormatting sqref="C93">
    <cfRule type="expression" dxfId="561" priority="50">
      <formula>kvartal &lt; 4</formula>
    </cfRule>
  </conditionalFormatting>
  <conditionalFormatting sqref="B101">
    <cfRule type="expression" dxfId="560" priority="49">
      <formula>kvartal &lt; 4</formula>
    </cfRule>
  </conditionalFormatting>
  <conditionalFormatting sqref="C101">
    <cfRule type="expression" dxfId="559" priority="48">
      <formula>kvartal &lt; 4</formula>
    </cfRule>
  </conditionalFormatting>
  <conditionalFormatting sqref="B104">
    <cfRule type="expression" dxfId="558" priority="47">
      <formula>kvartal &lt; 4</formula>
    </cfRule>
  </conditionalFormatting>
  <conditionalFormatting sqref="C104">
    <cfRule type="expression" dxfId="557" priority="46">
      <formula>kvartal &lt; 4</formula>
    </cfRule>
  </conditionalFormatting>
  <conditionalFormatting sqref="B115">
    <cfRule type="expression" dxfId="556" priority="45">
      <formula>kvartal &lt; 4</formula>
    </cfRule>
  </conditionalFormatting>
  <conditionalFormatting sqref="C115">
    <cfRule type="expression" dxfId="555" priority="44">
      <formula>kvartal &lt; 4</formula>
    </cfRule>
  </conditionalFormatting>
  <conditionalFormatting sqref="B123">
    <cfRule type="expression" dxfId="554" priority="43">
      <formula>kvartal &lt; 4</formula>
    </cfRule>
  </conditionalFormatting>
  <conditionalFormatting sqref="C123">
    <cfRule type="expression" dxfId="553" priority="42">
      <formula>kvartal &lt; 4</formula>
    </cfRule>
  </conditionalFormatting>
  <conditionalFormatting sqref="F70">
    <cfRule type="expression" dxfId="552" priority="41">
      <formula>kvartal &lt; 4</formula>
    </cfRule>
  </conditionalFormatting>
  <conditionalFormatting sqref="G70">
    <cfRule type="expression" dxfId="551" priority="40">
      <formula>kvartal &lt; 4</formula>
    </cfRule>
  </conditionalFormatting>
  <conditionalFormatting sqref="F71:G71">
    <cfRule type="expression" dxfId="550" priority="39">
      <formula>kvartal &lt; 4</formula>
    </cfRule>
  </conditionalFormatting>
  <conditionalFormatting sqref="F73:G74">
    <cfRule type="expression" dxfId="549" priority="38">
      <formula>kvartal &lt; 4</formula>
    </cfRule>
  </conditionalFormatting>
  <conditionalFormatting sqref="F81:G82">
    <cfRule type="expression" dxfId="548" priority="37">
      <formula>kvartal &lt; 4</formula>
    </cfRule>
  </conditionalFormatting>
  <conditionalFormatting sqref="F84:G85">
    <cfRule type="expression" dxfId="547" priority="36">
      <formula>kvartal &lt; 4</formula>
    </cfRule>
  </conditionalFormatting>
  <conditionalFormatting sqref="F91:G92">
    <cfRule type="expression" dxfId="546" priority="35">
      <formula>kvartal &lt; 4</formula>
    </cfRule>
  </conditionalFormatting>
  <conditionalFormatting sqref="F94:G95">
    <cfRule type="expression" dxfId="545" priority="34">
      <formula>kvartal &lt; 4</formula>
    </cfRule>
  </conditionalFormatting>
  <conditionalFormatting sqref="F102:G103">
    <cfRule type="expression" dxfId="544" priority="33">
      <formula>kvartal &lt; 4</formula>
    </cfRule>
  </conditionalFormatting>
  <conditionalFormatting sqref="F105:G106">
    <cfRule type="expression" dxfId="543" priority="32">
      <formula>kvartal &lt; 4</formula>
    </cfRule>
  </conditionalFormatting>
  <conditionalFormatting sqref="F115">
    <cfRule type="expression" dxfId="542" priority="31">
      <formula>kvartal &lt; 4</formula>
    </cfRule>
  </conditionalFormatting>
  <conditionalFormatting sqref="G115">
    <cfRule type="expression" dxfId="541" priority="30">
      <formula>kvartal &lt; 4</formula>
    </cfRule>
  </conditionalFormatting>
  <conditionalFormatting sqref="F123:G123">
    <cfRule type="expression" dxfId="540" priority="29">
      <formula>kvartal &lt; 4</formula>
    </cfRule>
  </conditionalFormatting>
  <conditionalFormatting sqref="F69:G69">
    <cfRule type="expression" dxfId="539" priority="28">
      <formula>kvartal &lt; 4</formula>
    </cfRule>
  </conditionalFormatting>
  <conditionalFormatting sqref="F72:G72">
    <cfRule type="expression" dxfId="538" priority="27">
      <formula>kvartal &lt; 4</formula>
    </cfRule>
  </conditionalFormatting>
  <conditionalFormatting sqref="F80:G80">
    <cfRule type="expression" dxfId="537" priority="26">
      <formula>kvartal &lt; 4</formula>
    </cfRule>
  </conditionalFormatting>
  <conditionalFormatting sqref="F83:G83">
    <cfRule type="expression" dxfId="536" priority="25">
      <formula>kvartal &lt; 4</formula>
    </cfRule>
  </conditionalFormatting>
  <conditionalFormatting sqref="F90:G90">
    <cfRule type="expression" dxfId="535" priority="24">
      <formula>kvartal &lt; 4</formula>
    </cfRule>
  </conditionalFormatting>
  <conditionalFormatting sqref="F93">
    <cfRule type="expression" dxfId="534" priority="23">
      <formula>kvartal &lt; 4</formula>
    </cfRule>
  </conditionalFormatting>
  <conditionalFormatting sqref="G93">
    <cfRule type="expression" dxfId="533" priority="22">
      <formula>kvartal &lt; 4</formula>
    </cfRule>
  </conditionalFormatting>
  <conditionalFormatting sqref="F101">
    <cfRule type="expression" dxfId="532" priority="21">
      <formula>kvartal &lt; 4</formula>
    </cfRule>
  </conditionalFormatting>
  <conditionalFormatting sqref="G101">
    <cfRule type="expression" dxfId="531" priority="20">
      <formula>kvartal &lt; 4</formula>
    </cfRule>
  </conditionalFormatting>
  <conditionalFormatting sqref="G104">
    <cfRule type="expression" dxfId="530" priority="19">
      <formula>kvartal &lt; 4</formula>
    </cfRule>
  </conditionalFormatting>
  <conditionalFormatting sqref="F104">
    <cfRule type="expression" dxfId="529" priority="18">
      <formula>kvartal &lt; 4</formula>
    </cfRule>
  </conditionalFormatting>
  <conditionalFormatting sqref="J69:K73">
    <cfRule type="expression" dxfId="528" priority="17">
      <formula>kvartal &lt; 4</formula>
    </cfRule>
  </conditionalFormatting>
  <conditionalFormatting sqref="J74:K74">
    <cfRule type="expression" dxfId="527" priority="16">
      <formula>kvartal &lt; 4</formula>
    </cfRule>
  </conditionalFormatting>
  <conditionalFormatting sqref="J80:K85">
    <cfRule type="expression" dxfId="526" priority="15">
      <formula>kvartal &lt; 4</formula>
    </cfRule>
  </conditionalFormatting>
  <conditionalFormatting sqref="J90:K95">
    <cfRule type="expression" dxfId="525" priority="14">
      <formula>kvartal &lt; 4</formula>
    </cfRule>
  </conditionalFormatting>
  <conditionalFormatting sqref="J101:K106">
    <cfRule type="expression" dxfId="524" priority="13">
      <formula>kvartal &lt; 4</formula>
    </cfRule>
  </conditionalFormatting>
  <conditionalFormatting sqref="J115:K115">
    <cfRule type="expression" dxfId="523" priority="12">
      <formula>kvartal &lt; 4</formula>
    </cfRule>
  </conditionalFormatting>
  <conditionalFormatting sqref="J123:K123">
    <cfRule type="expression" dxfId="522" priority="11">
      <formula>kvartal &lt; 4</formula>
    </cfRule>
  </conditionalFormatting>
  <conditionalFormatting sqref="A50:A52">
    <cfRule type="expression" dxfId="521" priority="8">
      <formula>kvartal &lt; 4</formula>
    </cfRule>
  </conditionalFormatting>
  <conditionalFormatting sqref="A69:A74">
    <cfRule type="expression" dxfId="520" priority="7">
      <formula>kvartal &lt; 4</formula>
    </cfRule>
  </conditionalFormatting>
  <conditionalFormatting sqref="A80:A85">
    <cfRule type="expression" dxfId="519" priority="6">
      <formula>kvartal &lt; 4</formula>
    </cfRule>
  </conditionalFormatting>
  <conditionalFormatting sqref="A90:A95">
    <cfRule type="expression" dxfId="518" priority="5">
      <formula>kvartal &lt; 4</formula>
    </cfRule>
  </conditionalFormatting>
  <conditionalFormatting sqref="A101:A106">
    <cfRule type="expression" dxfId="517" priority="4">
      <formula>kvartal &lt; 4</formula>
    </cfRule>
  </conditionalFormatting>
  <conditionalFormatting sqref="A115">
    <cfRule type="expression" dxfId="516" priority="3">
      <formula>kvartal &lt; 4</formula>
    </cfRule>
  </conditionalFormatting>
  <conditionalFormatting sqref="A123">
    <cfRule type="expression" dxfId="515" priority="2">
      <formula>kvartal &lt; 4</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64"/>
      <c r="C1" s="246" t="s">
        <v>74</v>
      </c>
      <c r="D1" s="26"/>
      <c r="E1" s="26"/>
      <c r="F1" s="26"/>
      <c r="G1" s="26"/>
      <c r="H1" s="26"/>
      <c r="I1" s="26"/>
      <c r="J1" s="26"/>
      <c r="K1" s="26"/>
      <c r="L1" s="26"/>
      <c r="M1" s="26"/>
    </row>
    <row r="2" spans="1:14" ht="15.75" x14ac:dyDescent="0.25">
      <c r="A2" s="165" t="s">
        <v>28</v>
      </c>
      <c r="B2" s="700"/>
      <c r="C2" s="700"/>
      <c r="D2" s="700"/>
      <c r="E2" s="297"/>
      <c r="F2" s="700"/>
      <c r="G2" s="700"/>
      <c r="H2" s="700"/>
      <c r="I2" s="297"/>
      <c r="J2" s="700"/>
      <c r="K2" s="700"/>
      <c r="L2" s="700"/>
      <c r="M2" s="297"/>
    </row>
    <row r="3" spans="1:14" ht="15.75" x14ac:dyDescent="0.25">
      <c r="A3" s="163"/>
      <c r="B3" s="297"/>
      <c r="C3" s="297"/>
      <c r="D3" s="297"/>
      <c r="E3" s="297"/>
      <c r="F3" s="297"/>
      <c r="G3" s="297"/>
      <c r="H3" s="297"/>
      <c r="I3" s="297"/>
      <c r="J3" s="297"/>
      <c r="K3" s="297"/>
      <c r="L3" s="297"/>
      <c r="M3" s="297"/>
    </row>
    <row r="4" spans="1:14" x14ac:dyDescent="0.2">
      <c r="A4" s="144"/>
      <c r="B4" s="696" t="s">
        <v>0</v>
      </c>
      <c r="C4" s="697"/>
      <c r="D4" s="697"/>
      <c r="E4" s="299"/>
      <c r="F4" s="696" t="s">
        <v>1</v>
      </c>
      <c r="G4" s="697"/>
      <c r="H4" s="697"/>
      <c r="I4" s="302"/>
      <c r="J4" s="696" t="s">
        <v>2</v>
      </c>
      <c r="K4" s="697"/>
      <c r="L4" s="697"/>
      <c r="M4" s="302"/>
    </row>
    <row r="5" spans="1:14" x14ac:dyDescent="0.2">
      <c r="A5" s="158"/>
      <c r="B5" s="152" t="s">
        <v>422</v>
      </c>
      <c r="C5" s="152" t="s">
        <v>423</v>
      </c>
      <c r="D5" s="243" t="s">
        <v>3</v>
      </c>
      <c r="E5" s="303" t="s">
        <v>29</v>
      </c>
      <c r="F5" s="152" t="s">
        <v>422</v>
      </c>
      <c r="G5" s="152" t="s">
        <v>423</v>
      </c>
      <c r="H5" s="243" t="s">
        <v>3</v>
      </c>
      <c r="I5" s="162" t="s">
        <v>29</v>
      </c>
      <c r="J5" s="152" t="s">
        <v>422</v>
      </c>
      <c r="K5" s="152" t="s">
        <v>423</v>
      </c>
      <c r="L5" s="243" t="s">
        <v>3</v>
      </c>
      <c r="M5" s="162" t="s">
        <v>29</v>
      </c>
    </row>
    <row r="6" spans="1:14" x14ac:dyDescent="0.2">
      <c r="A6" s="665"/>
      <c r="B6" s="156"/>
      <c r="C6" s="156"/>
      <c r="D6" s="244" t="s">
        <v>4</v>
      </c>
      <c r="E6" s="156" t="s">
        <v>30</v>
      </c>
      <c r="F6" s="161"/>
      <c r="G6" s="161"/>
      <c r="H6" s="243" t="s">
        <v>4</v>
      </c>
      <c r="I6" s="156" t="s">
        <v>30</v>
      </c>
      <c r="J6" s="161"/>
      <c r="K6" s="161"/>
      <c r="L6" s="243" t="s">
        <v>4</v>
      </c>
      <c r="M6" s="156" t="s">
        <v>30</v>
      </c>
    </row>
    <row r="7" spans="1:14" ht="15.75" x14ac:dyDescent="0.2">
      <c r="A7" s="14" t="s">
        <v>23</v>
      </c>
      <c r="B7" s="304"/>
      <c r="C7" s="305"/>
      <c r="D7" s="347"/>
      <c r="E7" s="11"/>
      <c r="F7" s="304">
        <v>54919</v>
      </c>
      <c r="G7" s="305">
        <v>48236.799550000003</v>
      </c>
      <c r="H7" s="347">
        <f>IF(F7=0, "    ---- ", IF(ABS(ROUND(100/F7*G7-100,1))&lt;999,ROUND(100/F7*G7-100,1),IF(ROUND(100/F7*G7-100,1)&gt;999,999,-999)))</f>
        <v>-12.2</v>
      </c>
      <c r="I7" s="160">
        <f>IFERROR(100/'Skjema total MA'!F7*G7,0)</f>
        <v>0.95949895591637224</v>
      </c>
      <c r="J7" s="306">
        <f t="shared" ref="J7:K12" si="0">SUM(B7,F7)</f>
        <v>54919</v>
      </c>
      <c r="K7" s="307">
        <f t="shared" si="0"/>
        <v>48236.799550000003</v>
      </c>
      <c r="L7" s="370">
        <f>IF(J7=0, "    ---- ", IF(ABS(ROUND(100/J7*K7-100,1))&lt;999,ROUND(100/J7*K7-100,1),IF(ROUND(100/J7*K7-100,1)&gt;999,999,-999)))</f>
        <v>-12.2</v>
      </c>
      <c r="M7" s="11">
        <f>IFERROR(100/'Skjema total MA'!I7*K7,0)</f>
        <v>0.62784671294726446</v>
      </c>
    </row>
    <row r="8" spans="1:14" ht="15.75" x14ac:dyDescent="0.2">
      <c r="A8" s="21" t="s">
        <v>25</v>
      </c>
      <c r="B8" s="279"/>
      <c r="C8" s="280"/>
      <c r="D8" s="166"/>
      <c r="E8" s="27"/>
      <c r="F8" s="283"/>
      <c r="G8" s="284"/>
      <c r="H8" s="166"/>
      <c r="I8" s="175"/>
      <c r="J8" s="232"/>
      <c r="K8" s="285"/>
      <c r="L8" s="252"/>
      <c r="M8" s="27"/>
    </row>
    <row r="9" spans="1:14" ht="15.75" x14ac:dyDescent="0.2">
      <c r="A9" s="21" t="s">
        <v>24</v>
      </c>
      <c r="B9" s="279"/>
      <c r="C9" s="280"/>
      <c r="D9" s="166"/>
      <c r="E9" s="27"/>
      <c r="F9" s="283"/>
      <c r="G9" s="284"/>
      <c r="H9" s="166"/>
      <c r="I9" s="175"/>
      <c r="J9" s="232"/>
      <c r="K9" s="285"/>
      <c r="L9" s="252"/>
      <c r="M9" s="27"/>
    </row>
    <row r="10" spans="1:14" ht="15.75" x14ac:dyDescent="0.2">
      <c r="A10" s="13" t="s">
        <v>371</v>
      </c>
      <c r="B10" s="308"/>
      <c r="C10" s="309"/>
      <c r="D10" s="171"/>
      <c r="E10" s="11"/>
      <c r="F10" s="308">
        <v>822203</v>
      </c>
      <c r="G10" s="309">
        <v>853810.09080000001</v>
      </c>
      <c r="H10" s="171">
        <f t="shared" ref="H10:H12" si="1">IF(F10=0, "    ---- ", IF(ABS(ROUND(100/F10*G10-100,1))&lt;999,ROUND(100/F10*G10-100,1),IF(ROUND(100/F10*G10-100,1)&gt;999,999,-999)))</f>
        <v>3.8</v>
      </c>
      <c r="I10" s="160">
        <f>IFERROR(100/'Skjema total MA'!F10*G10,0)</f>
        <v>1.8399549912928799</v>
      </c>
      <c r="J10" s="306">
        <f t="shared" si="0"/>
        <v>822203</v>
      </c>
      <c r="K10" s="307">
        <f t="shared" si="0"/>
        <v>853810.09080000001</v>
      </c>
      <c r="L10" s="371">
        <f t="shared" ref="L10:L12" si="2">IF(J10=0, "    ---- ", IF(ABS(ROUND(100/J10*K10-100,1))&lt;999,ROUND(100/J10*K10-100,1),IF(ROUND(100/J10*K10-100,1)&gt;999,999,-999)))</f>
        <v>3.8</v>
      </c>
      <c r="M10" s="11">
        <f>IFERROR(100/'Skjema total MA'!I10*K10,0)</f>
        <v>1.2917109049604689</v>
      </c>
    </row>
    <row r="11" spans="1:14" s="43" customFormat="1" ht="15.75" x14ac:dyDescent="0.2">
      <c r="A11" s="13" t="s">
        <v>372</v>
      </c>
      <c r="B11" s="308"/>
      <c r="C11" s="309"/>
      <c r="D11" s="171"/>
      <c r="E11" s="11"/>
      <c r="F11" s="308">
        <v>11532</v>
      </c>
      <c r="G11" s="309">
        <v>7899.1570000000002</v>
      </c>
      <c r="H11" s="171">
        <f t="shared" si="1"/>
        <v>-31.5</v>
      </c>
      <c r="I11" s="160">
        <f>IFERROR(100/'Skjema total MA'!F11*G11,0)</f>
        <v>4.7046844218458617</v>
      </c>
      <c r="J11" s="306">
        <f t="shared" si="0"/>
        <v>11532</v>
      </c>
      <c r="K11" s="307">
        <f t="shared" si="0"/>
        <v>7899.1570000000002</v>
      </c>
      <c r="L11" s="371">
        <f t="shared" si="2"/>
        <v>-31.5</v>
      </c>
      <c r="M11" s="11">
        <f>IFERROR(100/'Skjema total MA'!I11*K11,0)</f>
        <v>4.0929583745195401</v>
      </c>
      <c r="N11" s="143"/>
    </row>
    <row r="12" spans="1:14" s="43" customFormat="1" ht="15.75" x14ac:dyDescent="0.2">
      <c r="A12" s="41" t="s">
        <v>373</v>
      </c>
      <c r="B12" s="310"/>
      <c r="C12" s="311"/>
      <c r="D12" s="169"/>
      <c r="E12" s="36"/>
      <c r="F12" s="310">
        <v>498</v>
      </c>
      <c r="G12" s="311">
        <v>1805.7926399999999</v>
      </c>
      <c r="H12" s="169">
        <f t="shared" si="1"/>
        <v>262.60000000000002</v>
      </c>
      <c r="I12" s="169">
        <f>IFERROR(100/'Skjema total MA'!F12*G12,0)</f>
        <v>1.5934620299519626</v>
      </c>
      <c r="J12" s="312">
        <f t="shared" si="0"/>
        <v>498</v>
      </c>
      <c r="K12" s="313">
        <f t="shared" si="0"/>
        <v>1805.7926399999999</v>
      </c>
      <c r="L12" s="372">
        <f t="shared" si="2"/>
        <v>262.60000000000002</v>
      </c>
      <c r="M12" s="36">
        <f>IFERROR(100/'Skjema total MA'!I12*K12,0)</f>
        <v>1.534623023461843</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95"/>
      <c r="C18" s="695"/>
      <c r="D18" s="695"/>
      <c r="E18" s="297"/>
      <c r="F18" s="695"/>
      <c r="G18" s="695"/>
      <c r="H18" s="695"/>
      <c r="I18" s="297"/>
      <c r="J18" s="695"/>
      <c r="K18" s="695"/>
      <c r="L18" s="695"/>
      <c r="M18" s="297"/>
    </row>
    <row r="19" spans="1:14" x14ac:dyDescent="0.2">
      <c r="A19" s="144"/>
      <c r="B19" s="696" t="s">
        <v>0</v>
      </c>
      <c r="C19" s="697"/>
      <c r="D19" s="697"/>
      <c r="E19" s="299"/>
      <c r="F19" s="696" t="s">
        <v>1</v>
      </c>
      <c r="G19" s="697"/>
      <c r="H19" s="697"/>
      <c r="I19" s="302"/>
      <c r="J19" s="696" t="s">
        <v>2</v>
      </c>
      <c r="K19" s="697"/>
      <c r="L19" s="697"/>
      <c r="M19" s="302"/>
    </row>
    <row r="20" spans="1:14" x14ac:dyDescent="0.2">
      <c r="A20" s="140" t="s">
        <v>5</v>
      </c>
      <c r="B20" s="152" t="s">
        <v>422</v>
      </c>
      <c r="C20" s="152" t="s">
        <v>423</v>
      </c>
      <c r="D20" s="162" t="s">
        <v>3</v>
      </c>
      <c r="E20" s="303" t="s">
        <v>29</v>
      </c>
      <c r="F20" s="152" t="s">
        <v>422</v>
      </c>
      <c r="G20" s="152" t="s">
        <v>423</v>
      </c>
      <c r="H20" s="162" t="s">
        <v>3</v>
      </c>
      <c r="I20" s="162" t="s">
        <v>29</v>
      </c>
      <c r="J20" s="152" t="s">
        <v>422</v>
      </c>
      <c r="K20" s="152" t="s">
        <v>423</v>
      </c>
      <c r="L20" s="162" t="s">
        <v>3</v>
      </c>
      <c r="M20" s="162" t="s">
        <v>29</v>
      </c>
    </row>
    <row r="21" spans="1:14" x14ac:dyDescent="0.2">
      <c r="A21" s="666"/>
      <c r="B21" s="156"/>
      <c r="C21" s="156"/>
      <c r="D21" s="244" t="s">
        <v>4</v>
      </c>
      <c r="E21" s="156" t="s">
        <v>30</v>
      </c>
      <c r="F21" s="161"/>
      <c r="G21" s="161"/>
      <c r="H21" s="243" t="s">
        <v>4</v>
      </c>
      <c r="I21" s="156" t="s">
        <v>30</v>
      </c>
      <c r="J21" s="161"/>
      <c r="K21" s="161"/>
      <c r="L21" s="156" t="s">
        <v>4</v>
      </c>
      <c r="M21" s="156" t="s">
        <v>30</v>
      </c>
    </row>
    <row r="22" spans="1:14" ht="15.75" x14ac:dyDescent="0.2">
      <c r="A22" s="14" t="s">
        <v>23</v>
      </c>
      <c r="B22" s="308"/>
      <c r="C22" s="308"/>
      <c r="D22" s="347"/>
      <c r="E22" s="11"/>
      <c r="F22" s="316">
        <v>18689</v>
      </c>
      <c r="G22" s="316">
        <v>21531.84779</v>
      </c>
      <c r="H22" s="347">
        <f t="shared" ref="H22:H35" si="3">IF(F22=0, "    ---- ", IF(ABS(ROUND(100/F22*G22-100,1))&lt;999,ROUND(100/F22*G22-100,1),IF(ROUND(100/F22*G22-100,1)&gt;999,999,-999)))</f>
        <v>15.2</v>
      </c>
      <c r="I22" s="11">
        <f>IFERROR(100/'Skjema total MA'!F22*G22,0)</f>
        <v>3.8897396350032269</v>
      </c>
      <c r="J22" s="314">
        <f t="shared" ref="J22:K35" si="4">SUM(B22,F22)</f>
        <v>18689</v>
      </c>
      <c r="K22" s="314">
        <f t="shared" si="4"/>
        <v>21531.84779</v>
      </c>
      <c r="L22" s="370">
        <f t="shared" ref="L22:L35" si="5">IF(J22=0, "    ---- ", IF(ABS(ROUND(100/J22*K22-100,1))&lt;999,ROUND(100/J22*K22-100,1),IF(ROUND(100/J22*K22-100,1)&gt;999,999,-999)))</f>
        <v>15.2</v>
      </c>
      <c r="M22" s="24">
        <f>IFERROR(100/'Skjema total MA'!I22*K22,0)</f>
        <v>1.3562154740301298</v>
      </c>
    </row>
    <row r="23" spans="1:14" ht="15.75" x14ac:dyDescent="0.2">
      <c r="A23" s="551" t="s">
        <v>374</v>
      </c>
      <c r="B23" s="279"/>
      <c r="C23" s="279"/>
      <c r="D23" s="166"/>
      <c r="E23" s="11"/>
      <c r="F23" s="288">
        <v>202</v>
      </c>
      <c r="G23" s="288">
        <v>186.8</v>
      </c>
      <c r="H23" s="166">
        <f t="shared" si="3"/>
        <v>-7.5</v>
      </c>
      <c r="I23" s="363">
        <f>IFERROR(100/'Skjema total MA'!F23*G23,0)</f>
        <v>0.43587300135428642</v>
      </c>
      <c r="J23" s="288">
        <f t="shared" ref="J23:J26" si="6">SUM(B23,F23)</f>
        <v>202</v>
      </c>
      <c r="K23" s="288">
        <f t="shared" ref="K23:K26" si="7">SUM(C23,G23)</f>
        <v>186.8</v>
      </c>
      <c r="L23" s="166">
        <f t="shared" si="5"/>
        <v>-7.5</v>
      </c>
      <c r="M23" s="23">
        <f>IFERROR(100/'Skjema total MA'!I23*K23,0)</f>
        <v>2.3252718264454218E-2</v>
      </c>
    </row>
    <row r="24" spans="1:14" ht="15.75" x14ac:dyDescent="0.2">
      <c r="A24" s="551" t="s">
        <v>375</v>
      </c>
      <c r="B24" s="279"/>
      <c r="C24" s="279"/>
      <c r="D24" s="166"/>
      <c r="E24" s="11"/>
      <c r="F24" s="288"/>
      <c r="G24" s="288"/>
      <c r="H24" s="166"/>
      <c r="I24" s="363"/>
      <c r="J24" s="288"/>
      <c r="K24" s="288"/>
      <c r="L24" s="166"/>
      <c r="M24" s="23"/>
    </row>
    <row r="25" spans="1:14" ht="15.75" x14ac:dyDescent="0.2">
      <c r="A25" s="551" t="s">
        <v>376</v>
      </c>
      <c r="B25" s="279"/>
      <c r="C25" s="279"/>
      <c r="D25" s="166"/>
      <c r="E25" s="11"/>
      <c r="F25" s="288"/>
      <c r="G25" s="288"/>
      <c r="H25" s="166"/>
      <c r="I25" s="363"/>
      <c r="J25" s="288"/>
      <c r="K25" s="288"/>
      <c r="L25" s="166"/>
      <c r="M25" s="23"/>
    </row>
    <row r="26" spans="1:14" ht="15.75" x14ac:dyDescent="0.2">
      <c r="A26" s="551" t="s">
        <v>377</v>
      </c>
      <c r="B26" s="279"/>
      <c r="C26" s="279"/>
      <c r="D26" s="166"/>
      <c r="E26" s="11"/>
      <c r="F26" s="288">
        <v>18487</v>
      </c>
      <c r="G26" s="288">
        <v>21345.047790000001</v>
      </c>
      <c r="H26" s="166">
        <f t="shared" si="3"/>
        <v>15.5</v>
      </c>
      <c r="I26" s="363">
        <f>IFERROR(100/'Skjema total MA'!F26*G26,0)</f>
        <v>4.3562533372663976</v>
      </c>
      <c r="J26" s="288">
        <f t="shared" si="6"/>
        <v>18487</v>
      </c>
      <c r="K26" s="288">
        <f t="shared" si="7"/>
        <v>21345.047790000001</v>
      </c>
      <c r="L26" s="166">
        <f t="shared" ref="L26" si="8">IF(J26=0, "    ---- ", IF(ABS(ROUND(100/J26*K26-100,1))&lt;999,ROUND(100/J26*K26-100,1),IF(ROUND(100/J26*K26-100,1)&gt;999,999,-999)))</f>
        <v>15.5</v>
      </c>
      <c r="M26" s="23">
        <f>IFERROR(100/'Skjema total MA'!I26*K26,0)</f>
        <v>4.3562533372663976</v>
      </c>
    </row>
    <row r="27" spans="1:14" x14ac:dyDescent="0.2">
      <c r="A27" s="551" t="s">
        <v>11</v>
      </c>
      <c r="B27" s="279"/>
      <c r="C27" s="279"/>
      <c r="D27" s="166"/>
      <c r="E27" s="11"/>
      <c r="F27" s="288"/>
      <c r="G27" s="288"/>
      <c r="H27" s="166"/>
      <c r="I27" s="363"/>
      <c r="J27" s="288"/>
      <c r="K27" s="288"/>
      <c r="L27" s="166"/>
      <c r="M27" s="23"/>
    </row>
    <row r="28" spans="1:14" ht="15.75" x14ac:dyDescent="0.2">
      <c r="A28" s="49" t="s">
        <v>282</v>
      </c>
      <c r="B28" s="44"/>
      <c r="C28" s="285"/>
      <c r="D28" s="166"/>
      <c r="E28" s="11"/>
      <c r="F28" s="232"/>
      <c r="G28" s="285"/>
      <c r="H28" s="166"/>
      <c r="I28" s="27"/>
      <c r="J28" s="44"/>
      <c r="K28" s="44"/>
      <c r="L28" s="252"/>
      <c r="M28" s="23"/>
    </row>
    <row r="29" spans="1:14" s="3" customFormat="1" ht="15.75" x14ac:dyDescent="0.2">
      <c r="A29" s="13" t="s">
        <v>371</v>
      </c>
      <c r="B29" s="234"/>
      <c r="C29" s="234"/>
      <c r="D29" s="171"/>
      <c r="E29" s="11"/>
      <c r="F29" s="306">
        <v>881998</v>
      </c>
      <c r="G29" s="306">
        <v>877860.14728999999</v>
      </c>
      <c r="H29" s="171">
        <f t="shared" si="3"/>
        <v>-0.5</v>
      </c>
      <c r="I29" s="11">
        <f>IFERROR(100/'Skjema total MA'!F29*G29,0)</f>
        <v>4.2965199908401015</v>
      </c>
      <c r="J29" s="234">
        <f t="shared" si="4"/>
        <v>881998</v>
      </c>
      <c r="K29" s="234">
        <f t="shared" si="4"/>
        <v>877860.14728999999</v>
      </c>
      <c r="L29" s="371">
        <f t="shared" si="5"/>
        <v>-0.5</v>
      </c>
      <c r="M29" s="24">
        <f>IFERROR(100/'Skjema total MA'!I29*K29,0)</f>
        <v>1.2930889487852739</v>
      </c>
      <c r="N29" s="148"/>
    </row>
    <row r="30" spans="1:14" s="3" customFormat="1" ht="15.75" x14ac:dyDescent="0.2">
      <c r="A30" s="551" t="s">
        <v>374</v>
      </c>
      <c r="B30" s="279"/>
      <c r="C30" s="279"/>
      <c r="D30" s="166"/>
      <c r="E30" s="11"/>
      <c r="F30" s="288">
        <v>125097</v>
      </c>
      <c r="G30" s="288">
        <v>120508.41299</v>
      </c>
      <c r="H30" s="166">
        <f t="shared" si="3"/>
        <v>-3.7</v>
      </c>
      <c r="I30" s="363">
        <f>IFERROR(100/'Skjema total MA'!F30*G30,0)</f>
        <v>2.8316709570899303</v>
      </c>
      <c r="J30" s="288">
        <f t="shared" ref="J30:J33" si="9">SUM(B30,F30)</f>
        <v>125097</v>
      </c>
      <c r="K30" s="288">
        <f t="shared" ref="K30:K33" si="10">SUM(C30,G30)</f>
        <v>120508.41299</v>
      </c>
      <c r="L30" s="166">
        <f t="shared" si="5"/>
        <v>-3.7</v>
      </c>
      <c r="M30" s="23">
        <f>IFERROR(100/'Skjema total MA'!I30*K30,0)</f>
        <v>0.81883357810324753</v>
      </c>
      <c r="N30" s="148"/>
    </row>
    <row r="31" spans="1:14" s="3" customFormat="1" ht="15.75" x14ac:dyDescent="0.2">
      <c r="A31" s="551" t="s">
        <v>375</v>
      </c>
      <c r="B31" s="279"/>
      <c r="C31" s="279"/>
      <c r="D31" s="166"/>
      <c r="E31" s="11"/>
      <c r="F31" s="288">
        <v>680237</v>
      </c>
      <c r="G31" s="288">
        <v>647248.68137999997</v>
      </c>
      <c r="H31" s="166">
        <f t="shared" si="3"/>
        <v>-4.8</v>
      </c>
      <c r="I31" s="363">
        <f>IFERROR(100/'Skjema total MA'!F31*G31,0)</f>
        <v>6.9286880544454155</v>
      </c>
      <c r="J31" s="288">
        <f t="shared" si="9"/>
        <v>680237</v>
      </c>
      <c r="K31" s="288">
        <f t="shared" si="10"/>
        <v>647248.68137999997</v>
      </c>
      <c r="L31" s="166">
        <f t="shared" si="5"/>
        <v>-4.8</v>
      </c>
      <c r="M31" s="23">
        <f>IFERROR(100/'Skjema total MA'!I31*K31,0)</f>
        <v>1.5058375140562381</v>
      </c>
      <c r="N31" s="148"/>
    </row>
    <row r="32" spans="1:14" ht="15.75" x14ac:dyDescent="0.2">
      <c r="A32" s="551" t="s">
        <v>376</v>
      </c>
      <c r="B32" s="279"/>
      <c r="C32" s="279"/>
      <c r="D32" s="166"/>
      <c r="E32" s="11"/>
      <c r="F32" s="288"/>
      <c r="G32" s="288"/>
      <c r="H32" s="166"/>
      <c r="I32" s="363"/>
      <c r="J32" s="288"/>
      <c r="K32" s="288"/>
      <c r="L32" s="166"/>
      <c r="M32" s="23"/>
    </row>
    <row r="33" spans="1:14" ht="15.75" x14ac:dyDescent="0.2">
      <c r="A33" s="551" t="s">
        <v>377</v>
      </c>
      <c r="B33" s="279"/>
      <c r="C33" s="279"/>
      <c r="D33" s="166"/>
      <c r="E33" s="11"/>
      <c r="F33" s="288">
        <v>76664</v>
      </c>
      <c r="G33" s="288">
        <v>110103.05292</v>
      </c>
      <c r="H33" s="166">
        <f t="shared" si="3"/>
        <v>43.6</v>
      </c>
      <c r="I33" s="363">
        <f>IFERROR(100/'Skjema total MA'!F33*G33,0)</f>
        <v>4.400853992086069</v>
      </c>
      <c r="J33" s="288">
        <f t="shared" si="9"/>
        <v>76664</v>
      </c>
      <c r="K33" s="288">
        <f t="shared" si="10"/>
        <v>110103.05292</v>
      </c>
      <c r="L33" s="166">
        <f t="shared" ref="L33" si="11">IF(J33=0, "    ---- ", IF(ABS(ROUND(100/J33*K33-100,1))&lt;999,ROUND(100/J33*K33-100,1),IF(ROUND(100/J33*K33-100,1)&gt;999,999,-999)))</f>
        <v>43.6</v>
      </c>
      <c r="M33" s="23">
        <f>IFERROR(100/'Skjema total MA'!I34*K33,0)</f>
        <v>212.37102609752145</v>
      </c>
    </row>
    <row r="34" spans="1:14" ht="15.75" x14ac:dyDescent="0.2">
      <c r="A34" s="13" t="s">
        <v>372</v>
      </c>
      <c r="B34" s="234"/>
      <c r="C34" s="307"/>
      <c r="D34" s="171"/>
      <c r="E34" s="11"/>
      <c r="F34" s="306">
        <v>3888</v>
      </c>
      <c r="G34" s="307">
        <v>3046.1039999999998</v>
      </c>
      <c r="H34" s="171">
        <f t="shared" si="3"/>
        <v>-21.7</v>
      </c>
      <c r="I34" s="11">
        <f>IFERROR(100/'Skjema total MA'!F34*G34,0)</f>
        <v>7.8243388993220728</v>
      </c>
      <c r="J34" s="234">
        <f t="shared" si="4"/>
        <v>3888</v>
      </c>
      <c r="K34" s="234">
        <f t="shared" si="4"/>
        <v>3046.1039999999998</v>
      </c>
      <c r="L34" s="371">
        <f t="shared" si="5"/>
        <v>-21.7</v>
      </c>
      <c r="M34" s="24">
        <f>IFERROR(100/'Skjema total MA'!I34*K34,0)</f>
        <v>5.8754431863919336</v>
      </c>
    </row>
    <row r="35" spans="1:14" ht="15.75" x14ac:dyDescent="0.2">
      <c r="A35" s="13" t="s">
        <v>373</v>
      </c>
      <c r="B35" s="234"/>
      <c r="C35" s="307"/>
      <c r="D35" s="171"/>
      <c r="E35" s="11"/>
      <c r="F35" s="306">
        <v>5496</v>
      </c>
      <c r="G35" s="307">
        <v>4951.17076</v>
      </c>
      <c r="H35" s="171">
        <f t="shared" si="3"/>
        <v>-9.9</v>
      </c>
      <c r="I35" s="11">
        <f>IFERROR(100/'Skjema total MA'!F35*G35,0)</f>
        <v>7.746389921991832</v>
      </c>
      <c r="J35" s="234">
        <f t="shared" si="4"/>
        <v>5496</v>
      </c>
      <c r="K35" s="234">
        <f t="shared" si="4"/>
        <v>4951.17076</v>
      </c>
      <c r="L35" s="371">
        <f t="shared" si="5"/>
        <v>-9.9</v>
      </c>
      <c r="M35" s="24">
        <f>IFERROR(100/'Skjema total MA'!I35*K35,0)</f>
        <v>9.5250482568021528</v>
      </c>
    </row>
    <row r="36" spans="1:14" ht="15.75" x14ac:dyDescent="0.2">
      <c r="A36" s="12" t="s">
        <v>290</v>
      </c>
      <c r="B36" s="234"/>
      <c r="C36" s="307"/>
      <c r="D36" s="171"/>
      <c r="E36" s="11"/>
      <c r="F36" s="317"/>
      <c r="G36" s="318"/>
      <c r="H36" s="171"/>
      <c r="I36" s="377"/>
      <c r="J36" s="234"/>
      <c r="K36" s="234"/>
      <c r="L36" s="371"/>
      <c r="M36" s="24"/>
    </row>
    <row r="37" spans="1:14" ht="15.75" x14ac:dyDescent="0.2">
      <c r="A37" s="12" t="s">
        <v>379</v>
      </c>
      <c r="B37" s="234"/>
      <c r="C37" s="307"/>
      <c r="D37" s="171"/>
      <c r="E37" s="11"/>
      <c r="F37" s="317"/>
      <c r="G37" s="319"/>
      <c r="H37" s="171"/>
      <c r="I37" s="377"/>
      <c r="J37" s="234"/>
      <c r="K37" s="234"/>
      <c r="L37" s="371"/>
      <c r="M37" s="24"/>
    </row>
    <row r="38" spans="1:14" ht="15.75" x14ac:dyDescent="0.2">
      <c r="A38" s="12" t="s">
        <v>380</v>
      </c>
      <c r="B38" s="234"/>
      <c r="C38" s="307"/>
      <c r="D38" s="171"/>
      <c r="E38" s="24"/>
      <c r="F38" s="317"/>
      <c r="G38" s="318"/>
      <c r="H38" s="171"/>
      <c r="I38" s="377"/>
      <c r="J38" s="234"/>
      <c r="K38" s="234"/>
      <c r="L38" s="371"/>
      <c r="M38" s="24"/>
    </row>
    <row r="39" spans="1:14" ht="15.75" x14ac:dyDescent="0.2">
      <c r="A39" s="18" t="s">
        <v>381</v>
      </c>
      <c r="B39" s="274"/>
      <c r="C39" s="313"/>
      <c r="D39" s="169"/>
      <c r="E39" s="36"/>
      <c r="F39" s="320"/>
      <c r="G39" s="321"/>
      <c r="H39" s="169"/>
      <c r="I39" s="36"/>
      <c r="J39" s="234"/>
      <c r="K39" s="234"/>
      <c r="L39" s="372"/>
      <c r="M39" s="36"/>
    </row>
    <row r="40" spans="1:14" ht="15.75" x14ac:dyDescent="0.25">
      <c r="A40" s="47"/>
      <c r="B40" s="251"/>
      <c r="C40" s="251"/>
      <c r="D40" s="699"/>
      <c r="E40" s="699"/>
      <c r="F40" s="699"/>
      <c r="G40" s="699"/>
      <c r="H40" s="699"/>
      <c r="I40" s="699"/>
      <c r="J40" s="699"/>
      <c r="K40" s="699"/>
      <c r="L40" s="699"/>
      <c r="M40" s="300"/>
    </row>
    <row r="41" spans="1:14" x14ac:dyDescent="0.2">
      <c r="A41" s="155"/>
    </row>
    <row r="42" spans="1:14" ht="15.75" x14ac:dyDescent="0.25">
      <c r="A42" s="147" t="s">
        <v>279</v>
      </c>
      <c r="B42" s="700"/>
      <c r="C42" s="700"/>
      <c r="D42" s="700"/>
      <c r="E42" s="297"/>
      <c r="F42" s="701"/>
      <c r="G42" s="701"/>
      <c r="H42" s="701"/>
      <c r="I42" s="300"/>
      <c r="J42" s="701"/>
      <c r="K42" s="701"/>
      <c r="L42" s="701"/>
      <c r="M42" s="300"/>
    </row>
    <row r="43" spans="1:14" ht="15.75" x14ac:dyDescent="0.25">
      <c r="A43" s="163"/>
      <c r="B43" s="301"/>
      <c r="C43" s="301"/>
      <c r="D43" s="301"/>
      <c r="E43" s="301"/>
      <c r="F43" s="300"/>
      <c r="G43" s="300"/>
      <c r="H43" s="300"/>
      <c r="I43" s="300"/>
      <c r="J43" s="300"/>
      <c r="K43" s="300"/>
      <c r="L43" s="300"/>
      <c r="M43" s="300"/>
    </row>
    <row r="44" spans="1:14" ht="15.75" x14ac:dyDescent="0.25">
      <c r="A44" s="245"/>
      <c r="B44" s="696" t="s">
        <v>0</v>
      </c>
      <c r="C44" s="697"/>
      <c r="D44" s="697"/>
      <c r="E44" s="241"/>
      <c r="F44" s="300"/>
      <c r="G44" s="300"/>
      <c r="H44" s="300"/>
      <c r="I44" s="300"/>
      <c r="J44" s="300"/>
      <c r="K44" s="300"/>
      <c r="L44" s="300"/>
      <c r="M44" s="300"/>
    </row>
    <row r="45" spans="1:14" s="3" customFormat="1" x14ac:dyDescent="0.2">
      <c r="A45" s="140"/>
      <c r="B45" s="152" t="s">
        <v>422</v>
      </c>
      <c r="C45" s="152" t="s">
        <v>423</v>
      </c>
      <c r="D45" s="162" t="s">
        <v>3</v>
      </c>
      <c r="E45" s="162" t="s">
        <v>29</v>
      </c>
      <c r="F45" s="174"/>
      <c r="G45" s="174"/>
      <c r="H45" s="173"/>
      <c r="I45" s="173"/>
      <c r="J45" s="174"/>
      <c r="K45" s="174"/>
      <c r="L45" s="173"/>
      <c r="M45" s="173"/>
      <c r="N45" s="148"/>
    </row>
    <row r="46" spans="1:14" s="3" customFormat="1" x14ac:dyDescent="0.2">
      <c r="A46" s="666"/>
      <c r="B46" s="242"/>
      <c r="C46" s="242"/>
      <c r="D46" s="243" t="s">
        <v>4</v>
      </c>
      <c r="E46" s="156" t="s">
        <v>30</v>
      </c>
      <c r="F46" s="173"/>
      <c r="G46" s="173"/>
      <c r="H46" s="173"/>
      <c r="I46" s="173"/>
      <c r="J46" s="173"/>
      <c r="K46" s="173"/>
      <c r="L46" s="173"/>
      <c r="M46" s="173"/>
      <c r="N46" s="148"/>
    </row>
    <row r="47" spans="1:14" s="3" customFormat="1" ht="15.75" x14ac:dyDescent="0.2">
      <c r="A47" s="14" t="s">
        <v>23</v>
      </c>
      <c r="B47" s="308"/>
      <c r="C47" s="309"/>
      <c r="D47" s="370"/>
      <c r="E47" s="11"/>
      <c r="F47" s="145"/>
      <c r="G47" s="33"/>
      <c r="H47" s="159"/>
      <c r="I47" s="159"/>
      <c r="J47" s="37"/>
      <c r="K47" s="37"/>
      <c r="L47" s="159"/>
      <c r="M47" s="159"/>
      <c r="N47" s="148"/>
    </row>
    <row r="48" spans="1:14" s="3" customFormat="1" ht="15.75" x14ac:dyDescent="0.2">
      <c r="A48" s="38" t="s">
        <v>382</v>
      </c>
      <c r="B48" s="279"/>
      <c r="C48" s="280"/>
      <c r="D48" s="252"/>
      <c r="E48" s="27"/>
      <c r="F48" s="145"/>
      <c r="G48" s="33"/>
      <c r="H48" s="145"/>
      <c r="I48" s="145"/>
      <c r="J48" s="33"/>
      <c r="K48" s="33"/>
      <c r="L48" s="159"/>
      <c r="M48" s="159"/>
      <c r="N48" s="148"/>
    </row>
    <row r="49" spans="1:14" s="3" customFormat="1" ht="15.75" x14ac:dyDescent="0.2">
      <c r="A49" s="38" t="s">
        <v>383</v>
      </c>
      <c r="B49" s="44"/>
      <c r="C49" s="285"/>
      <c r="D49" s="252"/>
      <c r="E49" s="27"/>
      <c r="F49" s="145"/>
      <c r="G49" s="33"/>
      <c r="H49" s="145"/>
      <c r="I49" s="145"/>
      <c r="J49" s="37"/>
      <c r="K49" s="37"/>
      <c r="L49" s="159"/>
      <c r="M49" s="159"/>
      <c r="N49" s="148"/>
    </row>
    <row r="50" spans="1:14" s="3" customFormat="1" x14ac:dyDescent="0.2">
      <c r="A50" s="294" t="s">
        <v>6</v>
      </c>
      <c r="B50" s="288"/>
      <c r="C50" s="289"/>
      <c r="D50" s="252"/>
      <c r="E50" s="23"/>
      <c r="F50" s="145"/>
      <c r="G50" s="33"/>
      <c r="H50" s="145"/>
      <c r="I50" s="145"/>
      <c r="J50" s="33"/>
      <c r="K50" s="33"/>
      <c r="L50" s="159"/>
      <c r="M50" s="159"/>
      <c r="N50" s="148"/>
    </row>
    <row r="51" spans="1:14" s="3" customFormat="1" x14ac:dyDescent="0.2">
      <c r="A51" s="294" t="s">
        <v>7</v>
      </c>
      <c r="B51" s="288"/>
      <c r="C51" s="289"/>
      <c r="D51" s="252"/>
      <c r="E51" s="23"/>
      <c r="F51" s="145"/>
      <c r="G51" s="33"/>
      <c r="H51" s="145"/>
      <c r="I51" s="145"/>
      <c r="J51" s="33"/>
      <c r="K51" s="33"/>
      <c r="L51" s="159"/>
      <c r="M51" s="159"/>
      <c r="N51" s="148"/>
    </row>
    <row r="52" spans="1:14" s="3" customFormat="1" x14ac:dyDescent="0.2">
      <c r="A52" s="294" t="s">
        <v>8</v>
      </c>
      <c r="B52" s="288"/>
      <c r="C52" s="289"/>
      <c r="D52" s="252"/>
      <c r="E52" s="23"/>
      <c r="F52" s="145"/>
      <c r="G52" s="33"/>
      <c r="H52" s="145"/>
      <c r="I52" s="145"/>
      <c r="J52" s="33"/>
      <c r="K52" s="33"/>
      <c r="L52" s="159"/>
      <c r="M52" s="159"/>
      <c r="N52" s="148"/>
    </row>
    <row r="53" spans="1:14" s="3" customFormat="1" ht="15.75" x14ac:dyDescent="0.2">
      <c r="A53" s="39" t="s">
        <v>384</v>
      </c>
      <c r="B53" s="308"/>
      <c r="C53" s="309"/>
      <c r="D53" s="371"/>
      <c r="E53" s="11"/>
      <c r="F53" s="145"/>
      <c r="G53" s="33"/>
      <c r="H53" s="145"/>
      <c r="I53" s="145"/>
      <c r="J53" s="33"/>
      <c r="K53" s="33"/>
      <c r="L53" s="159"/>
      <c r="M53" s="159"/>
      <c r="N53" s="148"/>
    </row>
    <row r="54" spans="1:14" s="3" customFormat="1" ht="15.75" x14ac:dyDescent="0.2">
      <c r="A54" s="38" t="s">
        <v>382</v>
      </c>
      <c r="B54" s="279"/>
      <c r="C54" s="280"/>
      <c r="D54" s="252"/>
      <c r="E54" s="27"/>
      <c r="F54" s="145"/>
      <c r="G54" s="33"/>
      <c r="H54" s="145"/>
      <c r="I54" s="145"/>
      <c r="J54" s="33"/>
      <c r="K54" s="33"/>
      <c r="L54" s="159"/>
      <c r="M54" s="159"/>
      <c r="N54" s="148"/>
    </row>
    <row r="55" spans="1:14" s="3" customFormat="1" ht="15.75" x14ac:dyDescent="0.2">
      <c r="A55" s="38" t="s">
        <v>383</v>
      </c>
      <c r="B55" s="279"/>
      <c r="C55" s="280"/>
      <c r="D55" s="252"/>
      <c r="E55" s="27"/>
      <c r="F55" s="145"/>
      <c r="G55" s="33"/>
      <c r="H55" s="145"/>
      <c r="I55" s="145"/>
      <c r="J55" s="33"/>
      <c r="K55" s="33"/>
      <c r="L55" s="159"/>
      <c r="M55" s="159"/>
      <c r="N55" s="148"/>
    </row>
    <row r="56" spans="1:14" s="3" customFormat="1" ht="15.75" x14ac:dyDescent="0.2">
      <c r="A56" s="39" t="s">
        <v>385</v>
      </c>
      <c r="B56" s="308"/>
      <c r="C56" s="309"/>
      <c r="D56" s="371"/>
      <c r="E56" s="11"/>
      <c r="F56" s="145"/>
      <c r="G56" s="33"/>
      <c r="H56" s="145"/>
      <c r="I56" s="145"/>
      <c r="J56" s="33"/>
      <c r="K56" s="33"/>
      <c r="L56" s="159"/>
      <c r="M56" s="159"/>
      <c r="N56" s="148"/>
    </row>
    <row r="57" spans="1:14" s="3" customFormat="1" ht="15.75" x14ac:dyDescent="0.2">
      <c r="A57" s="38" t="s">
        <v>382</v>
      </c>
      <c r="B57" s="279"/>
      <c r="C57" s="280"/>
      <c r="D57" s="252"/>
      <c r="E57" s="27"/>
      <c r="F57" s="145"/>
      <c r="G57" s="33"/>
      <c r="H57" s="145"/>
      <c r="I57" s="145"/>
      <c r="J57" s="33"/>
      <c r="K57" s="33"/>
      <c r="L57" s="159"/>
      <c r="M57" s="159"/>
      <c r="N57" s="148"/>
    </row>
    <row r="58" spans="1:14" s="3" customFormat="1" ht="15.75" x14ac:dyDescent="0.2">
      <c r="A58" s="46" t="s">
        <v>383</v>
      </c>
      <c r="B58" s="281"/>
      <c r="C58" s="282"/>
      <c r="D58" s="253"/>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95"/>
      <c r="C62" s="695"/>
      <c r="D62" s="695"/>
      <c r="E62" s="297"/>
      <c r="F62" s="695"/>
      <c r="G62" s="695"/>
      <c r="H62" s="695"/>
      <c r="I62" s="297"/>
      <c r="J62" s="695"/>
      <c r="K62" s="695"/>
      <c r="L62" s="695"/>
      <c r="M62" s="297"/>
    </row>
    <row r="63" spans="1:14" x14ac:dyDescent="0.2">
      <c r="A63" s="144"/>
      <c r="B63" s="696" t="s">
        <v>0</v>
      </c>
      <c r="C63" s="697"/>
      <c r="D63" s="698"/>
      <c r="E63" s="298"/>
      <c r="F63" s="697" t="s">
        <v>1</v>
      </c>
      <c r="G63" s="697"/>
      <c r="H63" s="697"/>
      <c r="I63" s="302"/>
      <c r="J63" s="696" t="s">
        <v>2</v>
      </c>
      <c r="K63" s="697"/>
      <c r="L63" s="697"/>
      <c r="M63" s="302"/>
    </row>
    <row r="64" spans="1:14" x14ac:dyDescent="0.2">
      <c r="A64" s="140"/>
      <c r="B64" s="152" t="s">
        <v>422</v>
      </c>
      <c r="C64" s="152" t="s">
        <v>423</v>
      </c>
      <c r="D64" s="243" t="s">
        <v>3</v>
      </c>
      <c r="E64" s="303" t="s">
        <v>29</v>
      </c>
      <c r="F64" s="152" t="s">
        <v>422</v>
      </c>
      <c r="G64" s="152" t="s">
        <v>423</v>
      </c>
      <c r="H64" s="243" t="s">
        <v>3</v>
      </c>
      <c r="I64" s="303" t="s">
        <v>29</v>
      </c>
      <c r="J64" s="152" t="s">
        <v>422</v>
      </c>
      <c r="K64" s="152" t="s">
        <v>423</v>
      </c>
      <c r="L64" s="243" t="s">
        <v>3</v>
      </c>
      <c r="M64" s="162" t="s">
        <v>29</v>
      </c>
    </row>
    <row r="65" spans="1:14" x14ac:dyDescent="0.2">
      <c r="A65" s="666"/>
      <c r="B65" s="156"/>
      <c r="C65" s="156"/>
      <c r="D65" s="244" t="s">
        <v>4</v>
      </c>
      <c r="E65" s="156" t="s">
        <v>30</v>
      </c>
      <c r="F65" s="161"/>
      <c r="G65" s="161"/>
      <c r="H65" s="243" t="s">
        <v>4</v>
      </c>
      <c r="I65" s="156" t="s">
        <v>30</v>
      </c>
      <c r="J65" s="161"/>
      <c r="K65" s="205"/>
      <c r="L65" s="156" t="s">
        <v>4</v>
      </c>
      <c r="M65" s="156" t="s">
        <v>30</v>
      </c>
    </row>
    <row r="66" spans="1:14" ht="15.75" x14ac:dyDescent="0.2">
      <c r="A66" s="14" t="s">
        <v>23</v>
      </c>
      <c r="B66" s="350"/>
      <c r="C66" s="350"/>
      <c r="D66" s="347"/>
      <c r="E66" s="11"/>
      <c r="F66" s="349">
        <v>59</v>
      </c>
      <c r="G66" s="349">
        <v>38.290959999999998</v>
      </c>
      <c r="H66" s="347">
        <f t="shared" ref="H66:H111" si="12">IF(F66=0, "    ---- ", IF(ABS(ROUND(100/F66*G66-100,1))&lt;999,ROUND(100/F66*G66-100,1),IF(ROUND(100/F66*G66-100,1)&gt;999,999,-999)))</f>
        <v>-35.1</v>
      </c>
      <c r="I66" s="11">
        <f>IFERROR(100/'Skjema total MA'!F66*G66,0)</f>
        <v>2.435237938842101E-4</v>
      </c>
      <c r="J66" s="307">
        <f t="shared" ref="J66:K86" si="13">SUM(B66,F66)</f>
        <v>59</v>
      </c>
      <c r="K66" s="314">
        <f t="shared" si="13"/>
        <v>38.290959999999998</v>
      </c>
      <c r="L66" s="371">
        <f t="shared" ref="L66:L111" si="14">IF(J66=0, "    ---- ", IF(ABS(ROUND(100/J66*K66-100,1))&lt;999,ROUND(100/J66*K66-100,1),IF(ROUND(100/J66*K66-100,1)&gt;999,999,-999)))</f>
        <v>-35.1</v>
      </c>
      <c r="M66" s="11">
        <f>IFERROR(100/'Skjema total MA'!I66*K66,0)</f>
        <v>1.8151590945200203E-4</v>
      </c>
    </row>
    <row r="67" spans="1:14" x14ac:dyDescent="0.2">
      <c r="A67" s="365" t="s">
        <v>9</v>
      </c>
      <c r="B67" s="44"/>
      <c r="C67" s="145"/>
      <c r="D67" s="166"/>
      <c r="E67" s="27"/>
      <c r="F67" s="232"/>
      <c r="G67" s="145"/>
      <c r="H67" s="166"/>
      <c r="I67" s="27"/>
      <c r="J67" s="285"/>
      <c r="K67" s="44"/>
      <c r="L67" s="252"/>
      <c r="M67" s="27"/>
    </row>
    <row r="68" spans="1:14" x14ac:dyDescent="0.2">
      <c r="A68" s="21" t="s">
        <v>10</v>
      </c>
      <c r="B68" s="290"/>
      <c r="C68" s="291"/>
      <c r="D68" s="166"/>
      <c r="E68" s="27"/>
      <c r="F68" s="290">
        <v>59</v>
      </c>
      <c r="G68" s="291">
        <v>38.290959999999998</v>
      </c>
      <c r="H68" s="166">
        <f t="shared" si="12"/>
        <v>-35.1</v>
      </c>
      <c r="I68" s="27">
        <f>IFERROR(100/'Skjema total MA'!F68*G68,0)</f>
        <v>2.4679666388665813E-4</v>
      </c>
      <c r="J68" s="285">
        <f t="shared" si="13"/>
        <v>59</v>
      </c>
      <c r="K68" s="44">
        <f t="shared" si="13"/>
        <v>38.290959999999998</v>
      </c>
      <c r="L68" s="252">
        <f t="shared" si="14"/>
        <v>-35.1</v>
      </c>
      <c r="M68" s="27">
        <f>IFERROR(100/'Skjema total MA'!I68*K68,0)</f>
        <v>2.4500500554846296E-4</v>
      </c>
    </row>
    <row r="69" spans="1:14" ht="15.75" x14ac:dyDescent="0.2">
      <c r="A69" s="294" t="s">
        <v>386</v>
      </c>
      <c r="B69" s="279"/>
      <c r="C69" s="279"/>
      <c r="D69" s="166"/>
      <c r="E69" s="363"/>
      <c r="F69" s="279"/>
      <c r="G69" s="279"/>
      <c r="H69" s="166"/>
      <c r="I69" s="363"/>
      <c r="J69" s="288"/>
      <c r="K69" s="288"/>
      <c r="L69" s="166"/>
      <c r="M69" s="23"/>
    </row>
    <row r="70" spans="1:14" x14ac:dyDescent="0.2">
      <c r="A70" s="294" t="s">
        <v>12</v>
      </c>
      <c r="B70" s="292"/>
      <c r="C70" s="293"/>
      <c r="D70" s="166"/>
      <c r="E70" s="363"/>
      <c r="F70" s="279"/>
      <c r="G70" s="279"/>
      <c r="H70" s="166"/>
      <c r="I70" s="363"/>
      <c r="J70" s="288"/>
      <c r="K70" s="288"/>
      <c r="L70" s="166"/>
      <c r="M70" s="23"/>
    </row>
    <row r="71" spans="1:14" x14ac:dyDescent="0.2">
      <c r="A71" s="294" t="s">
        <v>13</v>
      </c>
      <c r="B71" s="233"/>
      <c r="C71" s="287"/>
      <c r="D71" s="166"/>
      <c r="E71" s="363"/>
      <c r="F71" s="279"/>
      <c r="G71" s="279"/>
      <c r="H71" s="166"/>
      <c r="I71" s="363"/>
      <c r="J71" s="288"/>
      <c r="K71" s="288"/>
      <c r="L71" s="166"/>
      <c r="M71" s="23"/>
    </row>
    <row r="72" spans="1:14" ht="15.75" x14ac:dyDescent="0.2">
      <c r="A72" s="294" t="s">
        <v>387</v>
      </c>
      <c r="B72" s="279"/>
      <c r="C72" s="279"/>
      <c r="D72" s="166"/>
      <c r="E72" s="363"/>
      <c r="F72" s="279"/>
      <c r="G72" s="279"/>
      <c r="H72" s="166"/>
      <c r="I72" s="363"/>
      <c r="J72" s="288"/>
      <c r="K72" s="288"/>
      <c r="L72" s="166"/>
      <c r="M72" s="23"/>
    </row>
    <row r="73" spans="1:14" x14ac:dyDescent="0.2">
      <c r="A73" s="294" t="s">
        <v>12</v>
      </c>
      <c r="B73" s="233"/>
      <c r="C73" s="287"/>
      <c r="D73" s="166"/>
      <c r="E73" s="363"/>
      <c r="F73" s="279"/>
      <c r="G73" s="279"/>
      <c r="H73" s="166"/>
      <c r="I73" s="363"/>
      <c r="J73" s="288"/>
      <c r="K73" s="288"/>
      <c r="L73" s="166"/>
      <c r="M73" s="23"/>
    </row>
    <row r="74" spans="1:14" s="3" customFormat="1" x14ac:dyDescent="0.2">
      <c r="A74" s="294" t="s">
        <v>13</v>
      </c>
      <c r="B74" s="233"/>
      <c r="C74" s="287"/>
      <c r="D74" s="166"/>
      <c r="E74" s="363"/>
      <c r="F74" s="279"/>
      <c r="G74" s="279"/>
      <c r="H74" s="166"/>
      <c r="I74" s="363"/>
      <c r="J74" s="288"/>
      <c r="K74" s="288"/>
      <c r="L74" s="166"/>
      <c r="M74" s="23"/>
      <c r="N74" s="148"/>
    </row>
    <row r="75" spans="1:14" s="3" customFormat="1" x14ac:dyDescent="0.2">
      <c r="A75" s="21" t="s">
        <v>356</v>
      </c>
      <c r="B75" s="232"/>
      <c r="C75" s="145"/>
      <c r="D75" s="166"/>
      <c r="E75" s="27"/>
      <c r="F75" s="232"/>
      <c r="G75" s="145"/>
      <c r="H75" s="166"/>
      <c r="I75" s="27"/>
      <c r="J75" s="285"/>
      <c r="K75" s="44"/>
      <c r="L75" s="252"/>
      <c r="M75" s="27"/>
      <c r="N75" s="148"/>
    </row>
    <row r="76" spans="1:14" s="3" customFormat="1" x14ac:dyDescent="0.2">
      <c r="A76" s="21" t="s">
        <v>355</v>
      </c>
      <c r="B76" s="232"/>
      <c r="C76" s="145"/>
      <c r="D76" s="166"/>
      <c r="E76" s="27"/>
      <c r="F76" s="232"/>
      <c r="G76" s="145"/>
      <c r="H76" s="166"/>
      <c r="I76" s="27"/>
      <c r="J76" s="285"/>
      <c r="K76" s="44"/>
      <c r="L76" s="252"/>
      <c r="M76" s="27"/>
      <c r="N76" s="148"/>
    </row>
    <row r="77" spans="1:14" ht="15.75" x14ac:dyDescent="0.2">
      <c r="A77" s="21" t="s">
        <v>388</v>
      </c>
      <c r="B77" s="232"/>
      <c r="C77" s="232"/>
      <c r="D77" s="166"/>
      <c r="E77" s="27"/>
      <c r="F77" s="232"/>
      <c r="G77" s="145"/>
      <c r="H77" s="166"/>
      <c r="I77" s="27"/>
      <c r="J77" s="285"/>
      <c r="K77" s="44"/>
      <c r="L77" s="252"/>
      <c r="M77" s="27"/>
    </row>
    <row r="78" spans="1:14" x14ac:dyDescent="0.2">
      <c r="A78" s="21" t="s">
        <v>9</v>
      </c>
      <c r="B78" s="232"/>
      <c r="C78" s="145"/>
      <c r="D78" s="166"/>
      <c r="E78" s="27"/>
      <c r="F78" s="232"/>
      <c r="G78" s="145"/>
      <c r="H78" s="166"/>
      <c r="I78" s="27"/>
      <c r="J78" s="285"/>
      <c r="K78" s="44"/>
      <c r="L78" s="252"/>
      <c r="M78" s="27"/>
    </row>
    <row r="79" spans="1:14" x14ac:dyDescent="0.2">
      <c r="A79" s="21" t="s">
        <v>10</v>
      </c>
      <c r="B79" s="290"/>
      <c r="C79" s="291"/>
      <c r="D79" s="166"/>
      <c r="E79" s="27"/>
      <c r="F79" s="290"/>
      <c r="G79" s="291"/>
      <c r="H79" s="166"/>
      <c r="I79" s="27"/>
      <c r="J79" s="285"/>
      <c r="K79" s="44"/>
      <c r="L79" s="252"/>
      <c r="M79" s="27"/>
    </row>
    <row r="80" spans="1:14" ht="15.75" x14ac:dyDescent="0.2">
      <c r="A80" s="294" t="s">
        <v>386</v>
      </c>
      <c r="B80" s="279"/>
      <c r="C80" s="279"/>
      <c r="D80" s="166"/>
      <c r="E80" s="363"/>
      <c r="F80" s="279"/>
      <c r="G80" s="279"/>
      <c r="H80" s="166"/>
      <c r="I80" s="363"/>
      <c r="J80" s="288"/>
      <c r="K80" s="288"/>
      <c r="L80" s="166"/>
      <c r="M80" s="23"/>
    </row>
    <row r="81" spans="1:13" x14ac:dyDescent="0.2">
      <c r="A81" s="294" t="s">
        <v>12</v>
      </c>
      <c r="B81" s="233"/>
      <c r="C81" s="287"/>
      <c r="D81" s="166"/>
      <c r="E81" s="363"/>
      <c r="F81" s="279"/>
      <c r="G81" s="279"/>
      <c r="H81" s="166"/>
      <c r="I81" s="363"/>
      <c r="J81" s="288"/>
      <c r="K81" s="288"/>
      <c r="L81" s="166"/>
      <c r="M81" s="23"/>
    </row>
    <row r="82" spans="1:13" x14ac:dyDescent="0.2">
      <c r="A82" s="294" t="s">
        <v>13</v>
      </c>
      <c r="B82" s="233"/>
      <c r="C82" s="287"/>
      <c r="D82" s="166"/>
      <c r="E82" s="363"/>
      <c r="F82" s="279"/>
      <c r="G82" s="279"/>
      <c r="H82" s="166"/>
      <c r="I82" s="363"/>
      <c r="J82" s="288"/>
      <c r="K82" s="288"/>
      <c r="L82" s="166"/>
      <c r="M82" s="23"/>
    </row>
    <row r="83" spans="1:13" ht="15.75" x14ac:dyDescent="0.2">
      <c r="A83" s="294" t="s">
        <v>387</v>
      </c>
      <c r="B83" s="279"/>
      <c r="C83" s="279"/>
      <c r="D83" s="166"/>
      <c r="E83" s="363"/>
      <c r="F83" s="279"/>
      <c r="G83" s="279"/>
      <c r="H83" s="166"/>
      <c r="I83" s="363"/>
      <c r="J83" s="288"/>
      <c r="K83" s="288"/>
      <c r="L83" s="166"/>
      <c r="M83" s="23"/>
    </row>
    <row r="84" spans="1:13" x14ac:dyDescent="0.2">
      <c r="A84" s="294" t="s">
        <v>12</v>
      </c>
      <c r="B84" s="233"/>
      <c r="C84" s="287"/>
      <c r="D84" s="166"/>
      <c r="E84" s="363"/>
      <c r="F84" s="279"/>
      <c r="G84" s="279"/>
      <c r="H84" s="166"/>
      <c r="I84" s="363"/>
      <c r="J84" s="288"/>
      <c r="K84" s="288"/>
      <c r="L84" s="166"/>
      <c r="M84" s="23"/>
    </row>
    <row r="85" spans="1:13" x14ac:dyDescent="0.2">
      <c r="A85" s="294" t="s">
        <v>13</v>
      </c>
      <c r="B85" s="233"/>
      <c r="C85" s="287"/>
      <c r="D85" s="166"/>
      <c r="E85" s="363"/>
      <c r="F85" s="279"/>
      <c r="G85" s="279"/>
      <c r="H85" s="166"/>
      <c r="I85" s="363"/>
      <c r="J85" s="288"/>
      <c r="K85" s="288"/>
      <c r="L85" s="166"/>
      <c r="M85" s="23"/>
    </row>
    <row r="86" spans="1:13" ht="15.75" x14ac:dyDescent="0.2">
      <c r="A86" s="21" t="s">
        <v>389</v>
      </c>
      <c r="B86" s="232"/>
      <c r="C86" s="145"/>
      <c r="D86" s="166"/>
      <c r="E86" s="27"/>
      <c r="F86" s="232">
        <v>59</v>
      </c>
      <c r="G86" s="145">
        <v>38.290959999999998</v>
      </c>
      <c r="H86" s="166">
        <f t="shared" si="12"/>
        <v>-35.1</v>
      </c>
      <c r="I86" s="27">
        <f>IFERROR(100/'Skjema total MA'!F86*G86,0)</f>
        <v>0.56881814211818549</v>
      </c>
      <c r="J86" s="285">
        <f t="shared" si="13"/>
        <v>59</v>
      </c>
      <c r="K86" s="44">
        <f t="shared" si="13"/>
        <v>38.290959999999998</v>
      </c>
      <c r="L86" s="252">
        <f t="shared" si="14"/>
        <v>-35.1</v>
      </c>
      <c r="M86" s="27">
        <f>IFERROR(100/'Skjema total MA'!I86*K86,0)</f>
        <v>5.4239548821127963E-2</v>
      </c>
    </row>
    <row r="87" spans="1:13" ht="15.75" x14ac:dyDescent="0.2">
      <c r="A87" s="13" t="s">
        <v>371</v>
      </c>
      <c r="B87" s="350"/>
      <c r="C87" s="350"/>
      <c r="D87" s="171"/>
      <c r="E87" s="11"/>
      <c r="F87" s="349">
        <v>459398</v>
      </c>
      <c r="G87" s="349">
        <v>576022.80160000001</v>
      </c>
      <c r="H87" s="171">
        <f t="shared" si="12"/>
        <v>25.4</v>
      </c>
      <c r="I87" s="11">
        <f>IFERROR(100/'Skjema total MA'!F87*G87,0)</f>
        <v>0.20294331130018728</v>
      </c>
      <c r="J87" s="307">
        <f t="shared" ref="J87:K111" si="15">SUM(B87,F87)</f>
        <v>459398</v>
      </c>
      <c r="K87" s="234">
        <f t="shared" si="15"/>
        <v>576022.80160000001</v>
      </c>
      <c r="L87" s="371">
        <f t="shared" si="14"/>
        <v>25.4</v>
      </c>
      <c r="M87" s="11">
        <f>IFERROR(100/'Skjema total MA'!I87*K87,0)</f>
        <v>8.5498838433574531E-2</v>
      </c>
    </row>
    <row r="88" spans="1:13" x14ac:dyDescent="0.2">
      <c r="A88" s="21" t="s">
        <v>9</v>
      </c>
      <c r="B88" s="232"/>
      <c r="C88" s="145"/>
      <c r="D88" s="166"/>
      <c r="E88" s="27"/>
      <c r="F88" s="232"/>
      <c r="G88" s="145"/>
      <c r="H88" s="166"/>
      <c r="I88" s="27"/>
      <c r="J88" s="285"/>
      <c r="K88" s="44"/>
      <c r="L88" s="252"/>
      <c r="M88" s="27"/>
    </row>
    <row r="89" spans="1:13" x14ac:dyDescent="0.2">
      <c r="A89" s="21" t="s">
        <v>10</v>
      </c>
      <c r="B89" s="232"/>
      <c r="C89" s="145"/>
      <c r="D89" s="166"/>
      <c r="E89" s="27"/>
      <c r="F89" s="232">
        <v>459398</v>
      </c>
      <c r="G89" s="145">
        <v>576022.80160000001</v>
      </c>
      <c r="H89" s="166">
        <f t="shared" si="12"/>
        <v>25.4</v>
      </c>
      <c r="I89" s="27">
        <f>IFERROR(100/'Skjema total MA'!F89*G89,0)</f>
        <v>0.20387767170932941</v>
      </c>
      <c r="J89" s="285">
        <f t="shared" si="15"/>
        <v>459398</v>
      </c>
      <c r="K89" s="44">
        <f t="shared" si="15"/>
        <v>576022.80160000001</v>
      </c>
      <c r="L89" s="252">
        <f t="shared" si="14"/>
        <v>25.4</v>
      </c>
      <c r="M89" s="27">
        <f>IFERROR(100/'Skjema total MA'!I89*K89,0)</f>
        <v>0.20179056352077487</v>
      </c>
    </row>
    <row r="90" spans="1:13" ht="15.75" x14ac:dyDescent="0.2">
      <c r="A90" s="294" t="s">
        <v>386</v>
      </c>
      <c r="B90" s="279"/>
      <c r="C90" s="279"/>
      <c r="D90" s="166"/>
      <c r="E90" s="363"/>
      <c r="F90" s="279"/>
      <c r="G90" s="279"/>
      <c r="H90" s="166"/>
      <c r="I90" s="363"/>
      <c r="J90" s="288"/>
      <c r="K90" s="288"/>
      <c r="L90" s="166"/>
      <c r="M90" s="23"/>
    </row>
    <row r="91" spans="1:13" x14ac:dyDescent="0.2">
      <c r="A91" s="294" t="s">
        <v>12</v>
      </c>
      <c r="B91" s="233"/>
      <c r="C91" s="287"/>
      <c r="D91" s="166"/>
      <c r="E91" s="363"/>
      <c r="F91" s="279"/>
      <c r="G91" s="279"/>
      <c r="H91" s="166"/>
      <c r="I91" s="363"/>
      <c r="J91" s="288"/>
      <c r="K91" s="288"/>
      <c r="L91" s="166"/>
      <c r="M91" s="23"/>
    </row>
    <row r="92" spans="1:13" x14ac:dyDescent="0.2">
      <c r="A92" s="294" t="s">
        <v>13</v>
      </c>
      <c r="B92" s="233"/>
      <c r="C92" s="287"/>
      <c r="D92" s="166"/>
      <c r="E92" s="363"/>
      <c r="F92" s="279"/>
      <c r="G92" s="279"/>
      <c r="H92" s="166"/>
      <c r="I92" s="363"/>
      <c r="J92" s="288"/>
      <c r="K92" s="288"/>
      <c r="L92" s="166"/>
      <c r="M92" s="23"/>
    </row>
    <row r="93" spans="1:13" ht="15.75" x14ac:dyDescent="0.2">
      <c r="A93" s="294" t="s">
        <v>387</v>
      </c>
      <c r="B93" s="279"/>
      <c r="C93" s="279"/>
      <c r="D93" s="166"/>
      <c r="E93" s="363"/>
      <c r="F93" s="279"/>
      <c r="G93" s="279"/>
      <c r="H93" s="166"/>
      <c r="I93" s="363"/>
      <c r="J93" s="288"/>
      <c r="K93" s="288"/>
      <c r="L93" s="166"/>
      <c r="M93" s="23"/>
    </row>
    <row r="94" spans="1:13" x14ac:dyDescent="0.2">
      <c r="A94" s="294" t="s">
        <v>12</v>
      </c>
      <c r="B94" s="233"/>
      <c r="C94" s="287"/>
      <c r="D94" s="166"/>
      <c r="E94" s="363"/>
      <c r="F94" s="279"/>
      <c r="G94" s="279"/>
      <c r="H94" s="166"/>
      <c r="I94" s="363"/>
      <c r="J94" s="288"/>
      <c r="K94" s="288"/>
      <c r="L94" s="166"/>
      <c r="M94" s="23"/>
    </row>
    <row r="95" spans="1:13" x14ac:dyDescent="0.2">
      <c r="A95" s="294" t="s">
        <v>13</v>
      </c>
      <c r="B95" s="233"/>
      <c r="C95" s="287"/>
      <c r="D95" s="166"/>
      <c r="E95" s="363"/>
      <c r="F95" s="279"/>
      <c r="G95" s="279"/>
      <c r="H95" s="166"/>
      <c r="I95" s="363"/>
      <c r="J95" s="288"/>
      <c r="K95" s="288"/>
      <c r="L95" s="166"/>
      <c r="M95" s="23"/>
    </row>
    <row r="96" spans="1:13" x14ac:dyDescent="0.2">
      <c r="A96" s="21" t="s">
        <v>354</v>
      </c>
      <c r="B96" s="232"/>
      <c r="C96" s="145"/>
      <c r="D96" s="166"/>
      <c r="E96" s="27"/>
      <c r="F96" s="232"/>
      <c r="G96" s="145"/>
      <c r="H96" s="166"/>
      <c r="I96" s="27"/>
      <c r="J96" s="285"/>
      <c r="K96" s="44"/>
      <c r="L96" s="252"/>
      <c r="M96" s="27"/>
    </row>
    <row r="97" spans="1:13" x14ac:dyDescent="0.2">
      <c r="A97" s="21" t="s">
        <v>353</v>
      </c>
      <c r="B97" s="232"/>
      <c r="C97" s="145"/>
      <c r="D97" s="166"/>
      <c r="E97" s="27"/>
      <c r="F97" s="232"/>
      <c r="G97" s="145"/>
      <c r="H97" s="166"/>
      <c r="I97" s="27"/>
      <c r="J97" s="285"/>
      <c r="K97" s="44"/>
      <c r="L97" s="252"/>
      <c r="M97" s="27"/>
    </row>
    <row r="98" spans="1:13" ht="15.75" x14ac:dyDescent="0.2">
      <c r="A98" s="21" t="s">
        <v>388</v>
      </c>
      <c r="B98" s="232"/>
      <c r="C98" s="232"/>
      <c r="D98" s="166"/>
      <c r="E98" s="27"/>
      <c r="F98" s="290"/>
      <c r="G98" s="290"/>
      <c r="H98" s="166"/>
      <c r="I98" s="27"/>
      <c r="J98" s="285"/>
      <c r="K98" s="44"/>
      <c r="L98" s="252"/>
      <c r="M98" s="27"/>
    </row>
    <row r="99" spans="1:13" x14ac:dyDescent="0.2">
      <c r="A99" s="21" t="s">
        <v>9</v>
      </c>
      <c r="B99" s="290"/>
      <c r="C99" s="291"/>
      <c r="D99" s="166"/>
      <c r="E99" s="27"/>
      <c r="F99" s="232"/>
      <c r="G99" s="145"/>
      <c r="H99" s="166"/>
      <c r="I99" s="27"/>
      <c r="J99" s="285"/>
      <c r="K99" s="44"/>
      <c r="L99" s="252"/>
      <c r="M99" s="27"/>
    </row>
    <row r="100" spans="1:13" x14ac:dyDescent="0.2">
      <c r="A100" s="21" t="s">
        <v>10</v>
      </c>
      <c r="B100" s="290"/>
      <c r="C100" s="291"/>
      <c r="D100" s="166"/>
      <c r="E100" s="27"/>
      <c r="F100" s="232"/>
      <c r="G100" s="232"/>
      <c r="H100" s="166"/>
      <c r="I100" s="27"/>
      <c r="J100" s="285"/>
      <c r="K100" s="44"/>
      <c r="L100" s="252"/>
      <c r="M100" s="27"/>
    </row>
    <row r="101" spans="1:13" ht="15.75" x14ac:dyDescent="0.2">
      <c r="A101" s="294" t="s">
        <v>386</v>
      </c>
      <c r="B101" s="279"/>
      <c r="C101" s="279"/>
      <c r="D101" s="166"/>
      <c r="E101" s="363"/>
      <c r="F101" s="279"/>
      <c r="G101" s="279"/>
      <c r="H101" s="166"/>
      <c r="I101" s="363"/>
      <c r="J101" s="288"/>
      <c r="K101" s="288"/>
      <c r="L101" s="166"/>
      <c r="M101" s="23"/>
    </row>
    <row r="102" spans="1:13" x14ac:dyDescent="0.2">
      <c r="A102" s="294" t="s">
        <v>12</v>
      </c>
      <c r="B102" s="233"/>
      <c r="C102" s="287"/>
      <c r="D102" s="166"/>
      <c r="E102" s="363"/>
      <c r="F102" s="279"/>
      <c r="G102" s="279"/>
      <c r="H102" s="166"/>
      <c r="I102" s="363"/>
      <c r="J102" s="288"/>
      <c r="K102" s="288"/>
      <c r="L102" s="166"/>
      <c r="M102" s="23"/>
    </row>
    <row r="103" spans="1:13" x14ac:dyDescent="0.2">
      <c r="A103" s="294" t="s">
        <v>13</v>
      </c>
      <c r="B103" s="233"/>
      <c r="C103" s="287"/>
      <c r="D103" s="166"/>
      <c r="E103" s="363"/>
      <c r="F103" s="279"/>
      <c r="G103" s="279"/>
      <c r="H103" s="166"/>
      <c r="I103" s="363"/>
      <c r="J103" s="288"/>
      <c r="K103" s="288"/>
      <c r="L103" s="166"/>
      <c r="M103" s="23"/>
    </row>
    <row r="104" spans="1:13" ht="15.75" x14ac:dyDescent="0.2">
      <c r="A104" s="294" t="s">
        <v>387</v>
      </c>
      <c r="B104" s="279"/>
      <c r="C104" s="279"/>
      <c r="D104" s="166"/>
      <c r="E104" s="363"/>
      <c r="F104" s="279"/>
      <c r="G104" s="279"/>
      <c r="H104" s="166"/>
      <c r="I104" s="363"/>
      <c r="J104" s="288"/>
      <c r="K104" s="288"/>
      <c r="L104" s="166"/>
      <c r="M104" s="23"/>
    </row>
    <row r="105" spans="1:13" x14ac:dyDescent="0.2">
      <c r="A105" s="294" t="s">
        <v>12</v>
      </c>
      <c r="B105" s="233"/>
      <c r="C105" s="287"/>
      <c r="D105" s="166"/>
      <c r="E105" s="363"/>
      <c r="F105" s="279"/>
      <c r="G105" s="279"/>
      <c r="H105" s="166"/>
      <c r="I105" s="363"/>
      <c r="J105" s="288"/>
      <c r="K105" s="288"/>
      <c r="L105" s="166"/>
      <c r="M105" s="23"/>
    </row>
    <row r="106" spans="1:13" x14ac:dyDescent="0.2">
      <c r="A106" s="294" t="s">
        <v>13</v>
      </c>
      <c r="B106" s="233"/>
      <c r="C106" s="287"/>
      <c r="D106" s="166"/>
      <c r="E106" s="363"/>
      <c r="F106" s="279"/>
      <c r="G106" s="279"/>
      <c r="H106" s="166"/>
      <c r="I106" s="363"/>
      <c r="J106" s="288"/>
      <c r="K106" s="288"/>
      <c r="L106" s="166"/>
      <c r="M106" s="23"/>
    </row>
    <row r="107" spans="1:13" ht="15.75" x14ac:dyDescent="0.2">
      <c r="A107" s="21" t="s">
        <v>389</v>
      </c>
      <c r="B107" s="232"/>
      <c r="C107" s="145"/>
      <c r="D107" s="166"/>
      <c r="E107" s="27"/>
      <c r="F107" s="232">
        <v>459398</v>
      </c>
      <c r="G107" s="145">
        <v>576022.80160000001</v>
      </c>
      <c r="H107" s="166">
        <f t="shared" si="12"/>
        <v>25.4</v>
      </c>
      <c r="I107" s="27">
        <f>IFERROR(100/'Skjema total MA'!F107*G107,0)</f>
        <v>73.642474593264765</v>
      </c>
      <c r="J107" s="285">
        <f t="shared" si="15"/>
        <v>459398</v>
      </c>
      <c r="K107" s="44">
        <f t="shared" si="15"/>
        <v>576022.80160000001</v>
      </c>
      <c r="L107" s="252">
        <f t="shared" si="14"/>
        <v>25.4</v>
      </c>
      <c r="M107" s="27">
        <f>IFERROR(100/'Skjema total MA'!I107*K107,0)</f>
        <v>10.42465403704677</v>
      </c>
    </row>
    <row r="108" spans="1:13" ht="15.75" x14ac:dyDescent="0.2">
      <c r="A108" s="21" t="s">
        <v>390</v>
      </c>
      <c r="B108" s="232"/>
      <c r="C108" s="232"/>
      <c r="D108" s="166"/>
      <c r="E108" s="27"/>
      <c r="F108" s="232"/>
      <c r="G108" s="232"/>
      <c r="H108" s="166"/>
      <c r="I108" s="27"/>
      <c r="J108" s="285"/>
      <c r="K108" s="44"/>
      <c r="L108" s="252"/>
      <c r="M108" s="27"/>
    </row>
    <row r="109" spans="1:13" ht="15.75" x14ac:dyDescent="0.2">
      <c r="A109" s="21" t="s">
        <v>391</v>
      </c>
      <c r="B109" s="232"/>
      <c r="C109" s="232"/>
      <c r="D109" s="166"/>
      <c r="E109" s="27"/>
      <c r="F109" s="232">
        <v>287687</v>
      </c>
      <c r="G109" s="232">
        <v>407994.33632</v>
      </c>
      <c r="H109" s="166">
        <f t="shared" si="12"/>
        <v>41.8</v>
      </c>
      <c r="I109" s="27">
        <f>IFERROR(100/'Skjema total MA'!F109*G109,0)</f>
        <v>0.42657115813402907</v>
      </c>
      <c r="J109" s="285">
        <f t="shared" si="15"/>
        <v>287687</v>
      </c>
      <c r="K109" s="44">
        <f t="shared" si="15"/>
        <v>407994.33632</v>
      </c>
      <c r="L109" s="252">
        <f t="shared" si="14"/>
        <v>41.8</v>
      </c>
      <c r="M109" s="27">
        <f>IFERROR(100/'Skjema total MA'!I109*K109,0)</f>
        <v>0.4221299632395738</v>
      </c>
    </row>
    <row r="110" spans="1:13" ht="15.75" x14ac:dyDescent="0.2">
      <c r="A110" s="21" t="s">
        <v>392</v>
      </c>
      <c r="B110" s="232"/>
      <c r="C110" s="232"/>
      <c r="D110" s="166"/>
      <c r="E110" s="27"/>
      <c r="F110" s="232"/>
      <c r="G110" s="232"/>
      <c r="H110" s="166"/>
      <c r="I110" s="27"/>
      <c r="J110" s="285"/>
      <c r="K110" s="44"/>
      <c r="L110" s="252"/>
      <c r="M110" s="27"/>
    </row>
    <row r="111" spans="1:13" ht="15.75" x14ac:dyDescent="0.2">
      <c r="A111" s="13" t="s">
        <v>372</v>
      </c>
      <c r="B111" s="306"/>
      <c r="C111" s="159"/>
      <c r="D111" s="171"/>
      <c r="E111" s="11"/>
      <c r="F111" s="306">
        <v>91143</v>
      </c>
      <c r="G111" s="159">
        <v>47052.203999999998</v>
      </c>
      <c r="H111" s="171">
        <f t="shared" si="12"/>
        <v>-48.4</v>
      </c>
      <c r="I111" s="11">
        <f>IFERROR(100/'Skjema total MA'!F111*G111,0)</f>
        <v>0.57663139800093222</v>
      </c>
      <c r="J111" s="307">
        <f t="shared" si="15"/>
        <v>91143</v>
      </c>
      <c r="K111" s="234">
        <f t="shared" si="15"/>
        <v>47052.203999999998</v>
      </c>
      <c r="L111" s="371">
        <f t="shared" si="14"/>
        <v>-48.4</v>
      </c>
      <c r="M111" s="11">
        <f>IFERROR(100/'Skjema total MA'!I111*K111,0)</f>
        <v>0.55858904299032741</v>
      </c>
    </row>
    <row r="112" spans="1:13" x14ac:dyDescent="0.2">
      <c r="A112" s="21" t="s">
        <v>9</v>
      </c>
      <c r="B112" s="232"/>
      <c r="C112" s="145"/>
      <c r="D112" s="166"/>
      <c r="E112" s="27"/>
      <c r="F112" s="232"/>
      <c r="G112" s="145"/>
      <c r="H112" s="166"/>
      <c r="I112" s="27"/>
      <c r="J112" s="285"/>
      <c r="K112" s="44"/>
      <c r="L112" s="252"/>
      <c r="M112" s="27"/>
    </row>
    <row r="113" spans="1:14" x14ac:dyDescent="0.2">
      <c r="A113" s="21" t="s">
        <v>10</v>
      </c>
      <c r="B113" s="232"/>
      <c r="C113" s="145"/>
      <c r="D113" s="166"/>
      <c r="E113" s="27"/>
      <c r="F113" s="232">
        <v>91143</v>
      </c>
      <c r="G113" s="145">
        <v>47052.203999999998</v>
      </c>
      <c r="H113" s="166">
        <f t="shared" ref="H113:H125" si="16">IF(F113=0, "    ---- ", IF(ABS(ROUND(100/F113*G113-100,1))&lt;999,ROUND(100/F113*G113-100,1),IF(ROUND(100/F113*G113-100,1)&gt;999,999,-999)))</f>
        <v>-48.4</v>
      </c>
      <c r="I113" s="27">
        <f>IFERROR(100/'Skjema total MA'!F113*G113,0)</f>
        <v>0.57892250498228348</v>
      </c>
      <c r="J113" s="285">
        <f t="shared" ref="J113:K125" si="17">SUM(B113,F113)</f>
        <v>91143</v>
      </c>
      <c r="K113" s="44">
        <f t="shared" si="17"/>
        <v>47052.203999999998</v>
      </c>
      <c r="L113" s="252">
        <f t="shared" ref="L113:L125" si="18">IF(J113=0, "    ---- ", IF(ABS(ROUND(100/J113*K113-100,1))&lt;999,ROUND(100/J113*K113-100,1),IF(ROUND(100/J113*K113-100,1)&gt;999,999,-999)))</f>
        <v>-48.4</v>
      </c>
      <c r="M113" s="27">
        <f>IFERROR(100/'Skjema total MA'!I113*K113,0)</f>
        <v>0.57885166945690303</v>
      </c>
    </row>
    <row r="114" spans="1:14" x14ac:dyDescent="0.2">
      <c r="A114" s="21" t="s">
        <v>26</v>
      </c>
      <c r="B114" s="232"/>
      <c r="C114" s="145"/>
      <c r="D114" s="166"/>
      <c r="E114" s="27"/>
      <c r="F114" s="232"/>
      <c r="G114" s="145"/>
      <c r="H114" s="166"/>
      <c r="I114" s="27"/>
      <c r="J114" s="285"/>
      <c r="K114" s="44"/>
      <c r="L114" s="252"/>
      <c r="M114" s="27"/>
    </row>
    <row r="115" spans="1:14" x14ac:dyDescent="0.2">
      <c r="A115" s="294" t="s">
        <v>15</v>
      </c>
      <c r="B115" s="279"/>
      <c r="C115" s="279"/>
      <c r="D115" s="166"/>
      <c r="E115" s="363"/>
      <c r="F115" s="279"/>
      <c r="G115" s="279"/>
      <c r="H115" s="166"/>
      <c r="I115" s="363"/>
      <c r="J115" s="288"/>
      <c r="K115" s="288"/>
      <c r="L115" s="166"/>
      <c r="M115" s="23"/>
    </row>
    <row r="116" spans="1:14" ht="15.75" x14ac:dyDescent="0.2">
      <c r="A116" s="21" t="s">
        <v>393</v>
      </c>
      <c r="B116" s="232"/>
      <c r="C116" s="232"/>
      <c r="D116" s="166"/>
      <c r="E116" s="27"/>
      <c r="F116" s="232"/>
      <c r="G116" s="232"/>
      <c r="H116" s="166"/>
      <c r="I116" s="27"/>
      <c r="J116" s="285"/>
      <c r="K116" s="44"/>
      <c r="L116" s="252"/>
      <c r="M116" s="27"/>
    </row>
    <row r="117" spans="1:14" ht="15.75" x14ac:dyDescent="0.2">
      <c r="A117" s="21" t="s">
        <v>394</v>
      </c>
      <c r="B117" s="232"/>
      <c r="C117" s="232"/>
      <c r="D117" s="166"/>
      <c r="E117" s="27"/>
      <c r="F117" s="232">
        <v>91143</v>
      </c>
      <c r="G117" s="232">
        <v>47052.203999999998</v>
      </c>
      <c r="H117" s="166">
        <f t="shared" si="16"/>
        <v>-48.4</v>
      </c>
      <c r="I117" s="27">
        <f>IFERROR(100/'Skjema total MA'!F117*G117,0)</f>
        <v>2.9105163701376644</v>
      </c>
      <c r="J117" s="285">
        <f t="shared" si="17"/>
        <v>91143</v>
      </c>
      <c r="K117" s="44">
        <f t="shared" si="17"/>
        <v>47052.203999999998</v>
      </c>
      <c r="L117" s="252">
        <f t="shared" si="18"/>
        <v>-48.4</v>
      </c>
      <c r="M117" s="27">
        <f>IFERROR(100/'Skjema total MA'!I117*K117,0)</f>
        <v>2.9105163701376644</v>
      </c>
    </row>
    <row r="118" spans="1:14" ht="15.75" x14ac:dyDescent="0.2">
      <c r="A118" s="21" t="s">
        <v>392</v>
      </c>
      <c r="B118" s="232"/>
      <c r="C118" s="232"/>
      <c r="D118" s="166"/>
      <c r="E118" s="27"/>
      <c r="F118" s="232"/>
      <c r="G118" s="232"/>
      <c r="H118" s="166"/>
      <c r="I118" s="27"/>
      <c r="J118" s="285"/>
      <c r="K118" s="44"/>
      <c r="L118" s="252"/>
      <c r="M118" s="27"/>
    </row>
    <row r="119" spans="1:14" ht="15.75" x14ac:dyDescent="0.2">
      <c r="A119" s="13" t="s">
        <v>373</v>
      </c>
      <c r="B119" s="306"/>
      <c r="C119" s="159"/>
      <c r="D119" s="171"/>
      <c r="E119" s="11"/>
      <c r="F119" s="306">
        <v>455</v>
      </c>
      <c r="G119" s="159">
        <v>3353.4990200000002</v>
      </c>
      <c r="H119" s="171">
        <f t="shared" si="16"/>
        <v>637</v>
      </c>
      <c r="I119" s="11">
        <f>IFERROR(100/'Skjema total MA'!F119*G119,0)</f>
        <v>4.1411343703737558E-2</v>
      </c>
      <c r="J119" s="307">
        <f t="shared" si="17"/>
        <v>455</v>
      </c>
      <c r="K119" s="234">
        <f t="shared" si="17"/>
        <v>3353.4990200000002</v>
      </c>
      <c r="L119" s="371">
        <f t="shared" si="18"/>
        <v>637</v>
      </c>
      <c r="M119" s="11">
        <f>IFERROR(100/'Skjema total MA'!I119*K119,0)</f>
        <v>4.0027684145475043E-2</v>
      </c>
    </row>
    <row r="120" spans="1:14" x14ac:dyDescent="0.2">
      <c r="A120" s="21" t="s">
        <v>9</v>
      </c>
      <c r="B120" s="232"/>
      <c r="C120" s="145"/>
      <c r="D120" s="166"/>
      <c r="E120" s="27"/>
      <c r="F120" s="232"/>
      <c r="G120" s="145"/>
      <c r="H120" s="166"/>
      <c r="I120" s="27"/>
      <c r="J120" s="285"/>
      <c r="K120" s="44"/>
      <c r="L120" s="252"/>
      <c r="M120" s="27"/>
    </row>
    <row r="121" spans="1:14" x14ac:dyDescent="0.2">
      <c r="A121" s="21" t="s">
        <v>10</v>
      </c>
      <c r="B121" s="232"/>
      <c r="C121" s="145"/>
      <c r="D121" s="166"/>
      <c r="E121" s="27"/>
      <c r="F121" s="232">
        <v>455</v>
      </c>
      <c r="G121" s="145">
        <v>3353.4990200000002</v>
      </c>
      <c r="H121" s="166">
        <f t="shared" si="16"/>
        <v>637</v>
      </c>
      <c r="I121" s="27">
        <f>IFERROR(100/'Skjema total MA'!F121*G121,0)</f>
        <v>4.1411343703737558E-2</v>
      </c>
      <c r="J121" s="285">
        <f t="shared" si="17"/>
        <v>455</v>
      </c>
      <c r="K121" s="44">
        <f t="shared" si="17"/>
        <v>3353.4990200000002</v>
      </c>
      <c r="L121" s="252">
        <f t="shared" si="18"/>
        <v>637</v>
      </c>
      <c r="M121" s="27">
        <f>IFERROR(100/'Skjema total MA'!I121*K121,0)</f>
        <v>4.1301710024321217E-2</v>
      </c>
    </row>
    <row r="122" spans="1:14" x14ac:dyDescent="0.2">
      <c r="A122" s="21" t="s">
        <v>26</v>
      </c>
      <c r="B122" s="232"/>
      <c r="C122" s="145"/>
      <c r="D122" s="166"/>
      <c r="E122" s="27"/>
      <c r="F122" s="232"/>
      <c r="G122" s="145"/>
      <c r="H122" s="166"/>
      <c r="I122" s="27"/>
      <c r="J122" s="285"/>
      <c r="K122" s="44"/>
      <c r="L122" s="252"/>
      <c r="M122" s="27"/>
    </row>
    <row r="123" spans="1:14" x14ac:dyDescent="0.2">
      <c r="A123" s="294" t="s">
        <v>14</v>
      </c>
      <c r="B123" s="279"/>
      <c r="C123" s="279"/>
      <c r="D123" s="166"/>
      <c r="E123" s="363"/>
      <c r="F123" s="279"/>
      <c r="G123" s="279"/>
      <c r="H123" s="166"/>
      <c r="I123" s="363"/>
      <c r="J123" s="288"/>
      <c r="K123" s="288"/>
      <c r="L123" s="166"/>
      <c r="M123" s="23"/>
    </row>
    <row r="124" spans="1:14" ht="15.75" x14ac:dyDescent="0.2">
      <c r="A124" s="21" t="s">
        <v>399</v>
      </c>
      <c r="B124" s="232"/>
      <c r="C124" s="232"/>
      <c r="D124" s="166"/>
      <c r="E124" s="27"/>
      <c r="F124" s="232"/>
      <c r="G124" s="232"/>
      <c r="H124" s="166"/>
      <c r="I124" s="27"/>
      <c r="J124" s="285"/>
      <c r="K124" s="44"/>
      <c r="L124" s="252"/>
      <c r="M124" s="27"/>
    </row>
    <row r="125" spans="1:14" ht="15.75" x14ac:dyDescent="0.2">
      <c r="A125" s="21" t="s">
        <v>391</v>
      </c>
      <c r="B125" s="232"/>
      <c r="C125" s="232"/>
      <c r="D125" s="166"/>
      <c r="E125" s="27"/>
      <c r="F125" s="232">
        <v>301</v>
      </c>
      <c r="G125" s="232">
        <v>3353.4990200000002</v>
      </c>
      <c r="H125" s="166">
        <f t="shared" si="16"/>
        <v>999</v>
      </c>
      <c r="I125" s="27">
        <f>IFERROR(100/'Skjema total MA'!F125*G125,0)</f>
        <v>0.19849102408300723</v>
      </c>
      <c r="J125" s="285">
        <f t="shared" si="17"/>
        <v>301</v>
      </c>
      <c r="K125" s="44">
        <f t="shared" si="17"/>
        <v>3353.4990200000002</v>
      </c>
      <c r="L125" s="252">
        <f t="shared" si="18"/>
        <v>999</v>
      </c>
      <c r="M125" s="27">
        <f>IFERROR(100/'Skjema total MA'!I125*K125,0)</f>
        <v>0.19822411850759455</v>
      </c>
    </row>
    <row r="126" spans="1:14" ht="15.75" x14ac:dyDescent="0.2">
      <c r="A126" s="10" t="s">
        <v>392</v>
      </c>
      <c r="B126" s="45"/>
      <c r="C126" s="45"/>
      <c r="D126" s="167"/>
      <c r="E126" s="364"/>
      <c r="F126" s="45"/>
      <c r="G126" s="45"/>
      <c r="H126" s="167"/>
      <c r="I126" s="22"/>
      <c r="J126" s="286"/>
      <c r="K126" s="45"/>
      <c r="L126" s="253"/>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95"/>
      <c r="C130" s="695"/>
      <c r="D130" s="695"/>
      <c r="E130" s="297"/>
      <c r="F130" s="695"/>
      <c r="G130" s="695"/>
      <c r="H130" s="695"/>
      <c r="I130" s="297"/>
      <c r="J130" s="695"/>
      <c r="K130" s="695"/>
      <c r="L130" s="695"/>
      <c r="M130" s="297"/>
    </row>
    <row r="131" spans="1:14" s="3" customFormat="1" x14ac:dyDescent="0.2">
      <c r="A131" s="144"/>
      <c r="B131" s="696" t="s">
        <v>0</v>
      </c>
      <c r="C131" s="697"/>
      <c r="D131" s="697"/>
      <c r="E131" s="299"/>
      <c r="F131" s="696" t="s">
        <v>1</v>
      </c>
      <c r="G131" s="697"/>
      <c r="H131" s="697"/>
      <c r="I131" s="302"/>
      <c r="J131" s="696" t="s">
        <v>2</v>
      </c>
      <c r="K131" s="697"/>
      <c r="L131" s="697"/>
      <c r="M131" s="302"/>
      <c r="N131" s="148"/>
    </row>
    <row r="132" spans="1:14" s="3" customFormat="1" x14ac:dyDescent="0.2">
      <c r="A132" s="140"/>
      <c r="B132" s="152" t="s">
        <v>422</v>
      </c>
      <c r="C132" s="152" t="s">
        <v>423</v>
      </c>
      <c r="D132" s="243" t="s">
        <v>3</v>
      </c>
      <c r="E132" s="303" t="s">
        <v>29</v>
      </c>
      <c r="F132" s="152" t="s">
        <v>422</v>
      </c>
      <c r="G132" s="152" t="s">
        <v>423</v>
      </c>
      <c r="H132" s="205" t="s">
        <v>3</v>
      </c>
      <c r="I132" s="162" t="s">
        <v>29</v>
      </c>
      <c r="J132" s="152" t="s">
        <v>422</v>
      </c>
      <c r="K132" s="152" t="s">
        <v>423</v>
      </c>
      <c r="L132" s="244" t="s">
        <v>3</v>
      </c>
      <c r="M132" s="162" t="s">
        <v>29</v>
      </c>
      <c r="N132" s="148"/>
    </row>
    <row r="133" spans="1:14" s="3" customFormat="1" x14ac:dyDescent="0.2">
      <c r="A133" s="666"/>
      <c r="B133" s="156"/>
      <c r="C133" s="156"/>
      <c r="D133" s="244" t="s">
        <v>4</v>
      </c>
      <c r="E133" s="156" t="s">
        <v>30</v>
      </c>
      <c r="F133" s="161"/>
      <c r="G133" s="161"/>
      <c r="H133" s="205" t="s">
        <v>4</v>
      </c>
      <c r="I133" s="156" t="s">
        <v>30</v>
      </c>
      <c r="J133" s="156"/>
      <c r="K133" s="156"/>
      <c r="L133" s="150" t="s">
        <v>4</v>
      </c>
      <c r="M133" s="156" t="s">
        <v>30</v>
      </c>
      <c r="N133" s="148"/>
    </row>
    <row r="134" spans="1:14" s="3" customFormat="1" ht="15.75" x14ac:dyDescent="0.2">
      <c r="A134" s="14" t="s">
        <v>395</v>
      </c>
      <c r="B134" s="234"/>
      <c r="C134" s="307"/>
      <c r="D134" s="347"/>
      <c r="E134" s="11"/>
      <c r="F134" s="314"/>
      <c r="G134" s="315"/>
      <c r="H134" s="374"/>
      <c r="I134" s="24"/>
      <c r="J134" s="316"/>
      <c r="K134" s="316"/>
      <c r="L134" s="370"/>
      <c r="M134" s="11"/>
      <c r="N134" s="148"/>
    </row>
    <row r="135" spans="1:14" s="3" customFormat="1" ht="15.75" x14ac:dyDescent="0.2">
      <c r="A135" s="13" t="s">
        <v>400</v>
      </c>
      <c r="B135" s="234"/>
      <c r="C135" s="307"/>
      <c r="D135" s="171"/>
      <c r="E135" s="11"/>
      <c r="F135" s="234"/>
      <c r="G135" s="307"/>
      <c r="H135" s="375"/>
      <c r="I135" s="24"/>
      <c r="J135" s="306"/>
      <c r="K135" s="306"/>
      <c r="L135" s="371"/>
      <c r="M135" s="11"/>
      <c r="N135" s="148"/>
    </row>
    <row r="136" spans="1:14" s="3" customFormat="1" ht="15.75" x14ac:dyDescent="0.2">
      <c r="A136" s="13" t="s">
        <v>397</v>
      </c>
      <c r="B136" s="234"/>
      <c r="C136" s="307"/>
      <c r="D136" s="171"/>
      <c r="E136" s="11"/>
      <c r="F136" s="234"/>
      <c r="G136" s="307"/>
      <c r="H136" s="375"/>
      <c r="I136" s="24"/>
      <c r="J136" s="306"/>
      <c r="K136" s="306"/>
      <c r="L136" s="371"/>
      <c r="M136" s="11"/>
      <c r="N136" s="148"/>
    </row>
    <row r="137" spans="1:14" s="3" customFormat="1" ht="15.75" x14ac:dyDescent="0.2">
      <c r="A137" s="41" t="s">
        <v>398</v>
      </c>
      <c r="B137" s="274"/>
      <c r="C137" s="313"/>
      <c r="D137" s="169"/>
      <c r="E137" s="9"/>
      <c r="F137" s="274"/>
      <c r="G137" s="313"/>
      <c r="H137" s="376"/>
      <c r="I137" s="36"/>
      <c r="J137" s="312"/>
      <c r="K137" s="312"/>
      <c r="L137" s="372"/>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514" priority="132">
      <formula>kvartal &lt; 4</formula>
    </cfRule>
  </conditionalFormatting>
  <conditionalFormatting sqref="B69">
    <cfRule type="expression" dxfId="513" priority="100">
      <formula>kvartal &lt; 4</formula>
    </cfRule>
  </conditionalFormatting>
  <conditionalFormatting sqref="C69">
    <cfRule type="expression" dxfId="512" priority="99">
      <formula>kvartal &lt; 4</formula>
    </cfRule>
  </conditionalFormatting>
  <conditionalFormatting sqref="B72">
    <cfRule type="expression" dxfId="511" priority="98">
      <formula>kvartal &lt; 4</formula>
    </cfRule>
  </conditionalFormatting>
  <conditionalFormatting sqref="C72">
    <cfRule type="expression" dxfId="510" priority="97">
      <formula>kvartal &lt; 4</formula>
    </cfRule>
  </conditionalFormatting>
  <conditionalFormatting sqref="B80">
    <cfRule type="expression" dxfId="509" priority="96">
      <formula>kvartal &lt; 4</formula>
    </cfRule>
  </conditionalFormatting>
  <conditionalFormatting sqref="C80">
    <cfRule type="expression" dxfId="508" priority="95">
      <formula>kvartal &lt; 4</formula>
    </cfRule>
  </conditionalFormatting>
  <conditionalFormatting sqref="B83">
    <cfRule type="expression" dxfId="507" priority="94">
      <formula>kvartal &lt; 4</formula>
    </cfRule>
  </conditionalFormatting>
  <conditionalFormatting sqref="C83">
    <cfRule type="expression" dxfId="506" priority="93">
      <formula>kvartal &lt; 4</formula>
    </cfRule>
  </conditionalFormatting>
  <conditionalFormatting sqref="B90">
    <cfRule type="expression" dxfId="505" priority="84">
      <formula>kvartal &lt; 4</formula>
    </cfRule>
  </conditionalFormatting>
  <conditionalFormatting sqref="C90">
    <cfRule type="expression" dxfId="504" priority="83">
      <formula>kvartal &lt; 4</formula>
    </cfRule>
  </conditionalFormatting>
  <conditionalFormatting sqref="B93">
    <cfRule type="expression" dxfId="503" priority="82">
      <formula>kvartal &lt; 4</formula>
    </cfRule>
  </conditionalFormatting>
  <conditionalFormatting sqref="C93">
    <cfRule type="expression" dxfId="502" priority="81">
      <formula>kvartal &lt; 4</formula>
    </cfRule>
  </conditionalFormatting>
  <conditionalFormatting sqref="B101">
    <cfRule type="expression" dxfId="501" priority="80">
      <formula>kvartal &lt; 4</formula>
    </cfRule>
  </conditionalFormatting>
  <conditionalFormatting sqref="C101">
    <cfRule type="expression" dxfId="500" priority="79">
      <formula>kvartal &lt; 4</formula>
    </cfRule>
  </conditionalFormatting>
  <conditionalFormatting sqref="B104">
    <cfRule type="expression" dxfId="499" priority="78">
      <formula>kvartal &lt; 4</formula>
    </cfRule>
  </conditionalFormatting>
  <conditionalFormatting sqref="C104">
    <cfRule type="expression" dxfId="498" priority="77">
      <formula>kvartal &lt; 4</formula>
    </cfRule>
  </conditionalFormatting>
  <conditionalFormatting sqref="B115">
    <cfRule type="expression" dxfId="497" priority="76">
      <formula>kvartal &lt; 4</formula>
    </cfRule>
  </conditionalFormatting>
  <conditionalFormatting sqref="C115">
    <cfRule type="expression" dxfId="496" priority="75">
      <formula>kvartal &lt; 4</formula>
    </cfRule>
  </conditionalFormatting>
  <conditionalFormatting sqref="B123">
    <cfRule type="expression" dxfId="495" priority="74">
      <formula>kvartal &lt; 4</formula>
    </cfRule>
  </conditionalFormatting>
  <conditionalFormatting sqref="C123">
    <cfRule type="expression" dxfId="494" priority="73">
      <formula>kvartal &lt; 4</formula>
    </cfRule>
  </conditionalFormatting>
  <conditionalFormatting sqref="F70">
    <cfRule type="expression" dxfId="493" priority="72">
      <formula>kvartal &lt; 4</formula>
    </cfRule>
  </conditionalFormatting>
  <conditionalFormatting sqref="G70">
    <cfRule type="expression" dxfId="492" priority="71">
      <formula>kvartal &lt; 4</formula>
    </cfRule>
  </conditionalFormatting>
  <conditionalFormatting sqref="F71:G71">
    <cfRule type="expression" dxfId="491" priority="70">
      <formula>kvartal &lt; 4</formula>
    </cfRule>
  </conditionalFormatting>
  <conditionalFormatting sqref="F73:G74">
    <cfRule type="expression" dxfId="490" priority="69">
      <formula>kvartal &lt; 4</formula>
    </cfRule>
  </conditionalFormatting>
  <conditionalFormatting sqref="F81:G82">
    <cfRule type="expression" dxfId="489" priority="68">
      <formula>kvartal &lt; 4</formula>
    </cfRule>
  </conditionalFormatting>
  <conditionalFormatting sqref="F84:G85">
    <cfRule type="expression" dxfId="488" priority="67">
      <formula>kvartal &lt; 4</formula>
    </cfRule>
  </conditionalFormatting>
  <conditionalFormatting sqref="F91:G92">
    <cfRule type="expression" dxfId="487" priority="62">
      <formula>kvartal &lt; 4</formula>
    </cfRule>
  </conditionalFormatting>
  <conditionalFormatting sqref="F94:G95">
    <cfRule type="expression" dxfId="486" priority="61">
      <formula>kvartal &lt; 4</formula>
    </cfRule>
  </conditionalFormatting>
  <conditionalFormatting sqref="F102:G103">
    <cfRule type="expression" dxfId="485" priority="60">
      <formula>kvartal &lt; 4</formula>
    </cfRule>
  </conditionalFormatting>
  <conditionalFormatting sqref="F105:G106">
    <cfRule type="expression" dxfId="484" priority="59">
      <formula>kvartal &lt; 4</formula>
    </cfRule>
  </conditionalFormatting>
  <conditionalFormatting sqref="F115">
    <cfRule type="expression" dxfId="483" priority="58">
      <formula>kvartal &lt; 4</formula>
    </cfRule>
  </conditionalFormatting>
  <conditionalFormatting sqref="G115">
    <cfRule type="expression" dxfId="482" priority="57">
      <formula>kvartal &lt; 4</formula>
    </cfRule>
  </conditionalFormatting>
  <conditionalFormatting sqref="F123:G123">
    <cfRule type="expression" dxfId="481" priority="56">
      <formula>kvartal &lt; 4</formula>
    </cfRule>
  </conditionalFormatting>
  <conditionalFormatting sqref="F69:G69">
    <cfRule type="expression" dxfId="480" priority="55">
      <formula>kvartal &lt; 4</formula>
    </cfRule>
  </conditionalFormatting>
  <conditionalFormatting sqref="F72:G72">
    <cfRule type="expression" dxfId="479" priority="54">
      <formula>kvartal &lt; 4</formula>
    </cfRule>
  </conditionalFormatting>
  <conditionalFormatting sqref="F80:G80">
    <cfRule type="expression" dxfId="478" priority="53">
      <formula>kvartal &lt; 4</formula>
    </cfRule>
  </conditionalFormatting>
  <conditionalFormatting sqref="F83:G83">
    <cfRule type="expression" dxfId="477" priority="52">
      <formula>kvartal &lt; 4</formula>
    </cfRule>
  </conditionalFormatting>
  <conditionalFormatting sqref="F90:G90">
    <cfRule type="expression" dxfId="476" priority="46">
      <formula>kvartal &lt; 4</formula>
    </cfRule>
  </conditionalFormatting>
  <conditionalFormatting sqref="F93">
    <cfRule type="expression" dxfId="475" priority="45">
      <formula>kvartal &lt; 4</formula>
    </cfRule>
  </conditionalFormatting>
  <conditionalFormatting sqref="G93">
    <cfRule type="expression" dxfId="474" priority="44">
      <formula>kvartal &lt; 4</formula>
    </cfRule>
  </conditionalFormatting>
  <conditionalFormatting sqref="F101">
    <cfRule type="expression" dxfId="473" priority="43">
      <formula>kvartal &lt; 4</formula>
    </cfRule>
  </conditionalFormatting>
  <conditionalFormatting sqref="G101">
    <cfRule type="expression" dxfId="472" priority="42">
      <formula>kvartal &lt; 4</formula>
    </cfRule>
  </conditionalFormatting>
  <conditionalFormatting sqref="G104">
    <cfRule type="expression" dxfId="471" priority="41">
      <formula>kvartal &lt; 4</formula>
    </cfRule>
  </conditionalFormatting>
  <conditionalFormatting sqref="F104">
    <cfRule type="expression" dxfId="470" priority="40">
      <formula>kvartal &lt; 4</formula>
    </cfRule>
  </conditionalFormatting>
  <conditionalFormatting sqref="J69:K73">
    <cfRule type="expression" dxfId="469" priority="39">
      <formula>kvartal &lt; 4</formula>
    </cfRule>
  </conditionalFormatting>
  <conditionalFormatting sqref="J74:K74">
    <cfRule type="expression" dxfId="468" priority="38">
      <formula>kvartal &lt; 4</formula>
    </cfRule>
  </conditionalFormatting>
  <conditionalFormatting sqref="J80:K85">
    <cfRule type="expression" dxfId="467" priority="37">
      <formula>kvartal &lt; 4</formula>
    </cfRule>
  </conditionalFormatting>
  <conditionalFormatting sqref="J90:K95">
    <cfRule type="expression" dxfId="466" priority="34">
      <formula>kvartal &lt; 4</formula>
    </cfRule>
  </conditionalFormatting>
  <conditionalFormatting sqref="J101:K106">
    <cfRule type="expression" dxfId="465" priority="33">
      <formula>kvartal &lt; 4</formula>
    </cfRule>
  </conditionalFormatting>
  <conditionalFormatting sqref="J115:K115">
    <cfRule type="expression" dxfId="464" priority="32">
      <formula>kvartal &lt; 4</formula>
    </cfRule>
  </conditionalFormatting>
  <conditionalFormatting sqref="J123:K123">
    <cfRule type="expression" dxfId="463" priority="31">
      <formula>kvartal &lt; 4</formula>
    </cfRule>
  </conditionalFormatting>
  <conditionalFormatting sqref="A50:A52">
    <cfRule type="expression" dxfId="462" priority="12">
      <formula>kvartal &lt; 4</formula>
    </cfRule>
  </conditionalFormatting>
  <conditionalFormatting sqref="A69:A74">
    <cfRule type="expression" dxfId="461" priority="10">
      <formula>kvartal &lt; 4</formula>
    </cfRule>
  </conditionalFormatting>
  <conditionalFormatting sqref="A80:A85">
    <cfRule type="expression" dxfId="460" priority="9">
      <formula>kvartal &lt; 4</formula>
    </cfRule>
  </conditionalFormatting>
  <conditionalFormatting sqref="A90:A95">
    <cfRule type="expression" dxfId="459" priority="6">
      <formula>kvartal &lt; 4</formula>
    </cfRule>
  </conditionalFormatting>
  <conditionalFormatting sqref="A101:A106">
    <cfRule type="expression" dxfId="458" priority="5">
      <formula>kvartal &lt; 4</formula>
    </cfRule>
  </conditionalFormatting>
  <conditionalFormatting sqref="A115">
    <cfRule type="expression" dxfId="457" priority="4">
      <formula>kvartal &lt; 4</formula>
    </cfRule>
  </conditionalFormatting>
  <conditionalFormatting sqref="A123">
    <cfRule type="expression" dxfId="456" priority="3">
      <formula>kvartal &lt; 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64"/>
      <c r="C1" s="246" t="s">
        <v>139</v>
      </c>
      <c r="D1" s="26"/>
      <c r="E1" s="26"/>
      <c r="F1" s="26"/>
      <c r="G1" s="26"/>
      <c r="H1" s="26"/>
      <c r="I1" s="26"/>
      <c r="J1" s="26"/>
      <c r="K1" s="26"/>
      <c r="L1" s="26"/>
      <c r="M1" s="26"/>
    </row>
    <row r="2" spans="1:14" ht="15.75" x14ac:dyDescent="0.25">
      <c r="A2" s="165" t="s">
        <v>28</v>
      </c>
      <c r="B2" s="700"/>
      <c r="C2" s="700"/>
      <c r="D2" s="700"/>
      <c r="E2" s="297"/>
      <c r="F2" s="700"/>
      <c r="G2" s="700"/>
      <c r="H2" s="700"/>
      <c r="I2" s="297"/>
      <c r="J2" s="700"/>
      <c r="K2" s="700"/>
      <c r="L2" s="700"/>
      <c r="M2" s="297"/>
    </row>
    <row r="3" spans="1:14" ht="15.75" x14ac:dyDescent="0.25">
      <c r="A3" s="163"/>
      <c r="B3" s="297"/>
      <c r="C3" s="297"/>
      <c r="D3" s="297"/>
      <c r="E3" s="297"/>
      <c r="F3" s="297"/>
      <c r="G3" s="297"/>
      <c r="H3" s="297"/>
      <c r="I3" s="297"/>
      <c r="J3" s="297"/>
      <c r="K3" s="297"/>
      <c r="L3" s="297"/>
      <c r="M3" s="297"/>
    </row>
    <row r="4" spans="1:14" x14ac:dyDescent="0.2">
      <c r="A4" s="144"/>
      <c r="B4" s="696" t="s">
        <v>0</v>
      </c>
      <c r="C4" s="697"/>
      <c r="D4" s="697"/>
      <c r="E4" s="299"/>
      <c r="F4" s="696" t="s">
        <v>1</v>
      </c>
      <c r="G4" s="697"/>
      <c r="H4" s="697"/>
      <c r="I4" s="302"/>
      <c r="J4" s="696" t="s">
        <v>2</v>
      </c>
      <c r="K4" s="697"/>
      <c r="L4" s="697"/>
      <c r="M4" s="302"/>
    </row>
    <row r="5" spans="1:14" x14ac:dyDescent="0.2">
      <c r="A5" s="158"/>
      <c r="B5" s="152" t="s">
        <v>422</v>
      </c>
      <c r="C5" s="152" t="s">
        <v>423</v>
      </c>
      <c r="D5" s="243" t="s">
        <v>3</v>
      </c>
      <c r="E5" s="303" t="s">
        <v>29</v>
      </c>
      <c r="F5" s="152" t="s">
        <v>422</v>
      </c>
      <c r="G5" s="152" t="s">
        <v>423</v>
      </c>
      <c r="H5" s="243" t="s">
        <v>3</v>
      </c>
      <c r="I5" s="162" t="s">
        <v>29</v>
      </c>
      <c r="J5" s="152" t="s">
        <v>422</v>
      </c>
      <c r="K5" s="152" t="s">
        <v>423</v>
      </c>
      <c r="L5" s="243" t="s">
        <v>3</v>
      </c>
      <c r="M5" s="162" t="s">
        <v>29</v>
      </c>
    </row>
    <row r="6" spans="1:14" x14ac:dyDescent="0.2">
      <c r="A6" s="665"/>
      <c r="B6" s="156"/>
      <c r="C6" s="156"/>
      <c r="D6" s="244" t="s">
        <v>4</v>
      </c>
      <c r="E6" s="156" t="s">
        <v>30</v>
      </c>
      <c r="F6" s="161"/>
      <c r="G6" s="161"/>
      <c r="H6" s="243" t="s">
        <v>4</v>
      </c>
      <c r="I6" s="156" t="s">
        <v>30</v>
      </c>
      <c r="J6" s="161"/>
      <c r="K6" s="161"/>
      <c r="L6" s="243" t="s">
        <v>4</v>
      </c>
      <c r="M6" s="156" t="s">
        <v>30</v>
      </c>
    </row>
    <row r="7" spans="1:14" ht="15.75" x14ac:dyDescent="0.2">
      <c r="A7" s="14" t="s">
        <v>23</v>
      </c>
      <c r="B7" s="304">
        <v>418549.84512000001</v>
      </c>
      <c r="C7" s="305">
        <v>445603.01763000002</v>
      </c>
      <c r="D7" s="347">
        <f>IF(B7=0, "    ---- ", IF(ABS(ROUND(100/B7*C7-100,1))&lt;999,ROUND(100/B7*C7-100,1),IF(ROUND(100/B7*C7-100,1)&gt;999,999,-999)))</f>
        <v>6.5</v>
      </c>
      <c r="E7" s="11">
        <f>IFERROR(100/'Skjema total MA'!C7*C7,0)</f>
        <v>16.779724676443315</v>
      </c>
      <c r="F7" s="304">
        <v>187297.83661</v>
      </c>
      <c r="G7" s="305">
        <v>197650.44701</v>
      </c>
      <c r="H7" s="347">
        <f>IF(F7=0, "    ---- ", IF(ABS(ROUND(100/F7*G7-100,1))&lt;999,ROUND(100/F7*G7-100,1),IF(ROUND(100/F7*G7-100,1)&gt;999,999,-999)))</f>
        <v>5.5</v>
      </c>
      <c r="I7" s="160">
        <f>IFERROR(100/'Skjema total MA'!F7*G7,0)</f>
        <v>3.9315501714810437</v>
      </c>
      <c r="J7" s="306">
        <f t="shared" ref="J7:K12" si="0">SUM(B7,F7)</f>
        <v>605847.68173000007</v>
      </c>
      <c r="K7" s="307">
        <f t="shared" si="0"/>
        <v>643253.46464000002</v>
      </c>
      <c r="L7" s="370">
        <f>IF(J7=0, "    ---- ", IF(ABS(ROUND(100/J7*K7-100,1))&lt;999,ROUND(100/J7*K7-100,1),IF(ROUND(100/J7*K7-100,1)&gt;999,999,-999)))</f>
        <v>6.2</v>
      </c>
      <c r="M7" s="11">
        <f>IFERROR(100/'Skjema total MA'!I7*K7,0)</f>
        <v>8.3725408222313007</v>
      </c>
    </row>
    <row r="8" spans="1:14" ht="15.75" x14ac:dyDescent="0.2">
      <c r="A8" s="21" t="s">
        <v>25</v>
      </c>
      <c r="B8" s="279">
        <v>373225.85867423099</v>
      </c>
      <c r="C8" s="280">
        <v>399457.609341676</v>
      </c>
      <c r="D8" s="166">
        <f t="shared" ref="D8:D10" si="1">IF(B8=0, "    ---- ", IF(ABS(ROUND(100/B8*C8-100,1))&lt;999,ROUND(100/B8*C8-100,1),IF(ROUND(100/B8*C8-100,1)&gt;999,999,-999)))</f>
        <v>7</v>
      </c>
      <c r="E8" s="27">
        <f>IFERROR(100/'Skjema total MA'!C8*C8,0)</f>
        <v>25.010795764365348</v>
      </c>
      <c r="F8" s="283"/>
      <c r="G8" s="284"/>
      <c r="H8" s="166"/>
      <c r="I8" s="175"/>
      <c r="J8" s="232">
        <f t="shared" si="0"/>
        <v>373225.85867423099</v>
      </c>
      <c r="K8" s="285">
        <f t="shared" si="0"/>
        <v>399457.609341676</v>
      </c>
      <c r="L8" s="166">
        <f t="shared" ref="L8:L9" si="2">IF(J8=0, "    ---- ", IF(ABS(ROUND(100/J8*K8-100,1))&lt;999,ROUND(100/J8*K8-100,1),IF(ROUND(100/J8*K8-100,1)&gt;999,999,-999)))</f>
        <v>7</v>
      </c>
      <c r="M8" s="27">
        <f>IFERROR(100/'Skjema total MA'!I8*K8,0)</f>
        <v>25.010795764365348</v>
      </c>
    </row>
    <row r="9" spans="1:14" ht="15.75" x14ac:dyDescent="0.2">
      <c r="A9" s="21" t="s">
        <v>24</v>
      </c>
      <c r="B9" s="279">
        <v>44816.310938352399</v>
      </c>
      <c r="C9" s="280">
        <v>46707.845848841003</v>
      </c>
      <c r="D9" s="166">
        <f t="shared" si="1"/>
        <v>4.2</v>
      </c>
      <c r="E9" s="27">
        <f>IFERROR(100/'Skjema total MA'!C9*C9,0)</f>
        <v>8.0218175780985437</v>
      </c>
      <c r="F9" s="283"/>
      <c r="G9" s="284"/>
      <c r="H9" s="166"/>
      <c r="I9" s="175"/>
      <c r="J9" s="232">
        <f t="shared" si="0"/>
        <v>44816.310938352399</v>
      </c>
      <c r="K9" s="285">
        <f t="shared" si="0"/>
        <v>46707.845848841003</v>
      </c>
      <c r="L9" s="166">
        <f t="shared" si="2"/>
        <v>4.2</v>
      </c>
      <c r="M9" s="27">
        <f>IFERROR(100/'Skjema total MA'!I9*K9,0)</f>
        <v>8.0218175780985437</v>
      </c>
    </row>
    <row r="10" spans="1:14" ht="15.75" x14ac:dyDescent="0.2">
      <c r="A10" s="13" t="s">
        <v>371</v>
      </c>
      <c r="B10" s="308">
        <v>883418.05134000001</v>
      </c>
      <c r="C10" s="309">
        <v>831286.37531000003</v>
      </c>
      <c r="D10" s="171">
        <f t="shared" si="1"/>
        <v>-5.9</v>
      </c>
      <c r="E10" s="11">
        <f>IFERROR(100/'Skjema total MA'!C10*C10,0)</f>
        <v>4.2207336710805334</v>
      </c>
      <c r="F10" s="308">
        <v>2268157.4951800001</v>
      </c>
      <c r="G10" s="309">
        <v>2453634.0844899998</v>
      </c>
      <c r="H10" s="171">
        <f t="shared" ref="H10:H12" si="3">IF(F10=0, "    ---- ", IF(ABS(ROUND(100/F10*G10-100,1))&lt;999,ROUND(100/F10*G10-100,1),IF(ROUND(100/F10*G10-100,1)&gt;999,999,-999)))</f>
        <v>8.1999999999999993</v>
      </c>
      <c r="I10" s="160">
        <f>IFERROR(100/'Skjema total MA'!F10*G10,0)</f>
        <v>5.2875649154411599</v>
      </c>
      <c r="J10" s="306">
        <f t="shared" si="0"/>
        <v>3151575.5465200003</v>
      </c>
      <c r="K10" s="307">
        <f t="shared" si="0"/>
        <v>3284920.4597999998</v>
      </c>
      <c r="L10" s="371">
        <f t="shared" ref="L10:L12" si="4">IF(J10=0, "    ---- ", IF(ABS(ROUND(100/J10*K10-100,1))&lt;999,ROUND(100/J10*K10-100,1),IF(ROUND(100/J10*K10-100,1)&gt;999,999,-999)))</f>
        <v>4.2</v>
      </c>
      <c r="M10" s="11">
        <f>IFERROR(100/'Skjema total MA'!I10*K10,0)</f>
        <v>4.9696854436045248</v>
      </c>
    </row>
    <row r="11" spans="1:14" s="43" customFormat="1" ht="15.75" x14ac:dyDescent="0.2">
      <c r="A11" s="13" t="s">
        <v>372</v>
      </c>
      <c r="B11" s="308"/>
      <c r="C11" s="309"/>
      <c r="D11" s="171"/>
      <c r="E11" s="11"/>
      <c r="F11" s="308">
        <v>23667.503789999999</v>
      </c>
      <c r="G11" s="309">
        <v>17427.42524</v>
      </c>
      <c r="H11" s="171">
        <f t="shared" si="3"/>
        <v>-26.4</v>
      </c>
      <c r="I11" s="160">
        <f>IFERROR(100/'Skjema total MA'!F11*G11,0)</f>
        <v>10.379656467077609</v>
      </c>
      <c r="J11" s="306">
        <f t="shared" si="0"/>
        <v>23667.503789999999</v>
      </c>
      <c r="K11" s="307">
        <f t="shared" si="0"/>
        <v>17427.42524</v>
      </c>
      <c r="L11" s="371">
        <f t="shared" si="4"/>
        <v>-26.4</v>
      </c>
      <c r="M11" s="11">
        <f>IFERROR(100/'Skjema total MA'!I11*K11,0)</f>
        <v>9.030042836516758</v>
      </c>
      <c r="N11" s="143"/>
    </row>
    <row r="12" spans="1:14" s="43" customFormat="1" ht="15.75" x14ac:dyDescent="0.2">
      <c r="A12" s="41" t="s">
        <v>373</v>
      </c>
      <c r="B12" s="310"/>
      <c r="C12" s="311"/>
      <c r="D12" s="169"/>
      <c r="E12" s="36"/>
      <c r="F12" s="310">
        <v>2181.45696</v>
      </c>
      <c r="G12" s="311">
        <v>15166.385920000001</v>
      </c>
      <c r="H12" s="169">
        <f t="shared" si="3"/>
        <v>595.20000000000005</v>
      </c>
      <c r="I12" s="169">
        <f>IFERROR(100/'Skjema total MA'!F12*G12,0)</f>
        <v>13.38307597439209</v>
      </c>
      <c r="J12" s="312">
        <f t="shared" si="0"/>
        <v>2181.45696</v>
      </c>
      <c r="K12" s="313">
        <f t="shared" si="0"/>
        <v>15166.385920000001</v>
      </c>
      <c r="L12" s="372">
        <f t="shared" si="4"/>
        <v>595.20000000000005</v>
      </c>
      <c r="M12" s="36">
        <f>IFERROR(100/'Skjema total MA'!I12*K12,0)</f>
        <v>12.888902357880653</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95"/>
      <c r="C18" s="695"/>
      <c r="D18" s="695"/>
      <c r="E18" s="297"/>
      <c r="F18" s="695"/>
      <c r="G18" s="695"/>
      <c r="H18" s="695"/>
      <c r="I18" s="297"/>
      <c r="J18" s="695"/>
      <c r="K18" s="695"/>
      <c r="L18" s="695"/>
      <c r="M18" s="297"/>
    </row>
    <row r="19" spans="1:14" x14ac:dyDescent="0.2">
      <c r="A19" s="144"/>
      <c r="B19" s="696" t="s">
        <v>0</v>
      </c>
      <c r="C19" s="697"/>
      <c r="D19" s="697"/>
      <c r="E19" s="299"/>
      <c r="F19" s="696" t="s">
        <v>1</v>
      </c>
      <c r="G19" s="697"/>
      <c r="H19" s="697"/>
      <c r="I19" s="302"/>
      <c r="J19" s="696" t="s">
        <v>2</v>
      </c>
      <c r="K19" s="697"/>
      <c r="L19" s="697"/>
      <c r="M19" s="302"/>
    </row>
    <row r="20" spans="1:14" x14ac:dyDescent="0.2">
      <c r="A20" s="140" t="s">
        <v>5</v>
      </c>
      <c r="B20" s="152" t="s">
        <v>422</v>
      </c>
      <c r="C20" s="152" t="s">
        <v>423</v>
      </c>
      <c r="D20" s="162" t="s">
        <v>3</v>
      </c>
      <c r="E20" s="303" t="s">
        <v>29</v>
      </c>
      <c r="F20" s="152" t="s">
        <v>422</v>
      </c>
      <c r="G20" s="152" t="s">
        <v>423</v>
      </c>
      <c r="H20" s="162" t="s">
        <v>3</v>
      </c>
      <c r="I20" s="162" t="s">
        <v>29</v>
      </c>
      <c r="J20" s="152" t="s">
        <v>422</v>
      </c>
      <c r="K20" s="152" t="s">
        <v>423</v>
      </c>
      <c r="L20" s="162" t="s">
        <v>3</v>
      </c>
      <c r="M20" s="162" t="s">
        <v>29</v>
      </c>
    </row>
    <row r="21" spans="1:14" x14ac:dyDescent="0.2">
      <c r="A21" s="666"/>
      <c r="B21" s="156"/>
      <c r="C21" s="156"/>
      <c r="D21" s="244" t="s">
        <v>4</v>
      </c>
      <c r="E21" s="156" t="s">
        <v>30</v>
      </c>
      <c r="F21" s="161"/>
      <c r="G21" s="161"/>
      <c r="H21" s="243" t="s">
        <v>4</v>
      </c>
      <c r="I21" s="156" t="s">
        <v>30</v>
      </c>
      <c r="J21" s="161"/>
      <c r="K21" s="161"/>
      <c r="L21" s="156" t="s">
        <v>4</v>
      </c>
      <c r="M21" s="156" t="s">
        <v>30</v>
      </c>
    </row>
    <row r="22" spans="1:14" ht="15.75" x14ac:dyDescent="0.2">
      <c r="A22" s="14" t="s">
        <v>23</v>
      </c>
      <c r="B22" s="308">
        <v>266557.14626000001</v>
      </c>
      <c r="C22" s="308">
        <v>345098.86265999998</v>
      </c>
      <c r="D22" s="347">
        <f t="shared" ref="D22:D35" si="5">IF(B22=0, "    ---- ", IF(ABS(ROUND(100/B22*C22-100,1))&lt;999,ROUND(100/B22*C22-100,1),IF(ROUND(100/B22*C22-100,1)&gt;999,999,-999)))</f>
        <v>29.5</v>
      </c>
      <c r="E22" s="11">
        <f>IFERROR(100/'Skjema total MA'!C22*C22,0)</f>
        <v>33.372320365722388</v>
      </c>
      <c r="F22" s="316">
        <v>75948.769260000001</v>
      </c>
      <c r="G22" s="316">
        <v>119334.73173</v>
      </c>
      <c r="H22" s="347">
        <f t="shared" ref="H22:H35" si="6">IF(F22=0, "    ---- ", IF(ABS(ROUND(100/F22*G22-100,1))&lt;999,ROUND(100/F22*G22-100,1),IF(ROUND(100/F22*G22-100,1)&gt;999,999,-999)))</f>
        <v>57.1</v>
      </c>
      <c r="I22" s="11">
        <f>IFERROR(100/'Skjema total MA'!F22*G22,0)</f>
        <v>21.557882090279172</v>
      </c>
      <c r="J22" s="314">
        <f t="shared" ref="J22:K35" si="7">SUM(B22,F22)</f>
        <v>342505.91552000004</v>
      </c>
      <c r="K22" s="314">
        <f t="shared" si="7"/>
        <v>464433.59438999998</v>
      </c>
      <c r="L22" s="370">
        <f t="shared" ref="L22:L35" si="8">IF(J22=0, "    ---- ", IF(ABS(ROUND(100/J22*K22-100,1))&lt;999,ROUND(100/J22*K22-100,1),IF(ROUND(100/J22*K22-100,1)&gt;999,999,-999)))</f>
        <v>35.6</v>
      </c>
      <c r="M22" s="24">
        <f>IFERROR(100/'Skjema total MA'!I22*K22,0)</f>
        <v>29.253041054083674</v>
      </c>
    </row>
    <row r="23" spans="1:14" ht="15.75" x14ac:dyDescent="0.2">
      <c r="A23" s="551" t="s">
        <v>374</v>
      </c>
      <c r="B23" s="279">
        <v>264451.68496664002</v>
      </c>
      <c r="C23" s="279">
        <v>342373.02203667403</v>
      </c>
      <c r="D23" s="166">
        <f t="shared" si="5"/>
        <v>29.5</v>
      </c>
      <c r="E23" s="11">
        <f>IFERROR(100/'Skjema total MA'!C23*C23,0)</f>
        <v>45.020031058924154</v>
      </c>
      <c r="F23" s="288">
        <v>6024.7492000000002</v>
      </c>
      <c r="G23" s="288">
        <v>3756.7240000000002</v>
      </c>
      <c r="H23" s="166">
        <f t="shared" si="6"/>
        <v>-37.6</v>
      </c>
      <c r="I23" s="363">
        <f>IFERROR(100/'Skjema total MA'!F23*G23,0)</f>
        <v>8.7658167298698082</v>
      </c>
      <c r="J23" s="288">
        <f t="shared" ref="J23:J26" si="9">SUM(B23,F23)</f>
        <v>270476.43416664004</v>
      </c>
      <c r="K23" s="288">
        <f t="shared" ref="K23:K26" si="10">SUM(C23,G23)</f>
        <v>346129.74603667401</v>
      </c>
      <c r="L23" s="166">
        <f t="shared" si="8"/>
        <v>28</v>
      </c>
      <c r="M23" s="23">
        <f>IFERROR(100/'Skjema total MA'!I23*K23,0)</f>
        <v>43.085960746990729</v>
      </c>
    </row>
    <row r="24" spans="1:14" ht="15.75" x14ac:dyDescent="0.2">
      <c r="A24" s="551" t="s">
        <v>375</v>
      </c>
      <c r="B24" s="279">
        <v>2105.4612933602798</v>
      </c>
      <c r="C24" s="279">
        <v>2725.8406233257301</v>
      </c>
      <c r="D24" s="166">
        <f t="shared" si="5"/>
        <v>29.5</v>
      </c>
      <c r="E24" s="11">
        <f>IFERROR(100/'Skjema total MA'!C24*C24,0)</f>
        <v>13.95029844494424</v>
      </c>
      <c r="F24" s="288">
        <v>-46.00309</v>
      </c>
      <c r="G24" s="288">
        <v>-373.12831</v>
      </c>
      <c r="H24" s="166">
        <f t="shared" si="6"/>
        <v>711.1</v>
      </c>
      <c r="I24" s="363">
        <f>IFERROR(100/'Skjema total MA'!F24*G24,0)</f>
        <v>-37.78837158238796</v>
      </c>
      <c r="J24" s="288">
        <f t="shared" si="9"/>
        <v>2059.4582033602796</v>
      </c>
      <c r="K24" s="288">
        <f t="shared" si="10"/>
        <v>2352.7123133257301</v>
      </c>
      <c r="L24" s="166">
        <f t="shared" si="8"/>
        <v>14.2</v>
      </c>
      <c r="M24" s="23">
        <f>IFERROR(100/'Skjema total MA'!I24*K24,0)</f>
        <v>11.461508516612826</v>
      </c>
    </row>
    <row r="25" spans="1:14" ht="15.75" x14ac:dyDescent="0.2">
      <c r="A25" s="551" t="s">
        <v>376</v>
      </c>
      <c r="B25" s="279"/>
      <c r="C25" s="279"/>
      <c r="D25" s="166"/>
      <c r="E25" s="11"/>
      <c r="F25" s="288">
        <v>5542.8679300000003</v>
      </c>
      <c r="G25" s="288">
        <v>4803.3653599999998</v>
      </c>
      <c r="H25" s="166">
        <f t="shared" si="6"/>
        <v>-13.3</v>
      </c>
      <c r="I25" s="363">
        <f>IFERROR(100/'Skjema total MA'!F25*G25,0)</f>
        <v>23.814283508673281</v>
      </c>
      <c r="J25" s="288">
        <f t="shared" si="9"/>
        <v>5542.8679300000003</v>
      </c>
      <c r="K25" s="288">
        <f t="shared" si="10"/>
        <v>4803.3653599999998</v>
      </c>
      <c r="L25" s="166">
        <f t="shared" si="8"/>
        <v>-13.3</v>
      </c>
      <c r="M25" s="23">
        <f>IFERROR(100/'Skjema total MA'!I25*K25,0)</f>
        <v>12.289124858935006</v>
      </c>
    </row>
    <row r="26" spans="1:14" ht="15.75" x14ac:dyDescent="0.2">
      <c r="A26" s="551" t="s">
        <v>377</v>
      </c>
      <c r="B26" s="279"/>
      <c r="C26" s="279"/>
      <c r="D26" s="166"/>
      <c r="E26" s="11"/>
      <c r="F26" s="288">
        <v>64427.155220000001</v>
      </c>
      <c r="G26" s="288">
        <v>111147.77068</v>
      </c>
      <c r="H26" s="166">
        <f t="shared" si="6"/>
        <v>72.5</v>
      </c>
      <c r="I26" s="363">
        <f>IFERROR(100/'Skjema total MA'!F26*G26,0)</f>
        <v>22.683849280548753</v>
      </c>
      <c r="J26" s="288">
        <f t="shared" si="9"/>
        <v>64427.155220000001</v>
      </c>
      <c r="K26" s="288">
        <f t="shared" si="10"/>
        <v>111147.77068</v>
      </c>
      <c r="L26" s="166">
        <f t="shared" si="8"/>
        <v>72.5</v>
      </c>
      <c r="M26" s="23">
        <f>IFERROR(100/'Skjema total MA'!I26*K26,0)</f>
        <v>22.683849280548753</v>
      </c>
    </row>
    <row r="27" spans="1:14" x14ac:dyDescent="0.2">
      <c r="A27" s="551" t="s">
        <v>11</v>
      </c>
      <c r="B27" s="279"/>
      <c r="C27" s="279"/>
      <c r="D27" s="166"/>
      <c r="E27" s="11"/>
      <c r="F27" s="288"/>
      <c r="G27" s="288"/>
      <c r="H27" s="166"/>
      <c r="I27" s="363"/>
      <c r="J27" s="288"/>
      <c r="K27" s="288"/>
      <c r="L27" s="166"/>
      <c r="M27" s="23"/>
    </row>
    <row r="28" spans="1:14" ht="15.75" x14ac:dyDescent="0.2">
      <c r="A28" s="49" t="s">
        <v>282</v>
      </c>
      <c r="B28" s="44">
        <v>264263.41371630901</v>
      </c>
      <c r="C28" s="285">
        <v>273275.64920054498</v>
      </c>
      <c r="D28" s="166">
        <f t="shared" si="5"/>
        <v>3.4</v>
      </c>
      <c r="E28" s="11">
        <f>IFERROR(100/'Skjema total MA'!C28*C28,0)</f>
        <v>26.120033674068491</v>
      </c>
      <c r="F28" s="232"/>
      <c r="G28" s="285"/>
      <c r="H28" s="166"/>
      <c r="I28" s="27"/>
      <c r="J28" s="44">
        <f t="shared" si="7"/>
        <v>264263.41371630901</v>
      </c>
      <c r="K28" s="44">
        <f t="shared" si="7"/>
        <v>273275.64920054498</v>
      </c>
      <c r="L28" s="252">
        <f t="shared" si="8"/>
        <v>3.4</v>
      </c>
      <c r="M28" s="23">
        <f>IFERROR(100/'Skjema total MA'!I28*K28,0)</f>
        <v>26.120033674068491</v>
      </c>
    </row>
    <row r="29" spans="1:14" s="3" customFormat="1" ht="15.75" x14ac:dyDescent="0.2">
      <c r="A29" s="13" t="s">
        <v>371</v>
      </c>
      <c r="B29" s="234">
        <v>5180783.8551599998</v>
      </c>
      <c r="C29" s="234">
        <v>5538249.7708900003</v>
      </c>
      <c r="D29" s="171">
        <f t="shared" si="5"/>
        <v>6.9</v>
      </c>
      <c r="E29" s="11">
        <f>IFERROR(100/'Skjema total MA'!C29*C29,0)</f>
        <v>11.670105345725633</v>
      </c>
      <c r="F29" s="306">
        <v>2204638.94771</v>
      </c>
      <c r="G29" s="306">
        <v>2409655.0911699999</v>
      </c>
      <c r="H29" s="171">
        <f t="shared" si="6"/>
        <v>9.3000000000000007</v>
      </c>
      <c r="I29" s="11">
        <f>IFERROR(100/'Skjema total MA'!F29*G29,0)</f>
        <v>11.793599814505976</v>
      </c>
      <c r="J29" s="234">
        <f t="shared" si="7"/>
        <v>7385422.8028699998</v>
      </c>
      <c r="K29" s="234">
        <f t="shared" si="7"/>
        <v>7947904.8620600002</v>
      </c>
      <c r="L29" s="371">
        <f t="shared" si="8"/>
        <v>7.6</v>
      </c>
      <c r="M29" s="24">
        <f>IFERROR(100/'Skjema total MA'!I29*K29,0)</f>
        <v>11.707272479395769</v>
      </c>
      <c r="N29" s="148"/>
    </row>
    <row r="30" spans="1:14" s="3" customFormat="1" ht="15.75" x14ac:dyDescent="0.2">
      <c r="A30" s="551" t="s">
        <v>374</v>
      </c>
      <c r="B30" s="279">
        <v>2972174.3983268798</v>
      </c>
      <c r="C30" s="279">
        <v>3177249.7445891998</v>
      </c>
      <c r="D30" s="166">
        <f t="shared" si="5"/>
        <v>6.9</v>
      </c>
      <c r="E30" s="11">
        <f>IFERROR(100/'Skjema total MA'!C30*C30,0)</f>
        <v>30.371324190718731</v>
      </c>
      <c r="F30" s="288">
        <v>637037.77448000002</v>
      </c>
      <c r="G30" s="288">
        <v>607859.64477000001</v>
      </c>
      <c r="H30" s="166">
        <f t="shared" si="6"/>
        <v>-4.5999999999999996</v>
      </c>
      <c r="I30" s="363">
        <f>IFERROR(100/'Skjema total MA'!F30*G30,0)</f>
        <v>14.283305699370915</v>
      </c>
      <c r="J30" s="288">
        <f t="shared" ref="J30:J33" si="11">SUM(B30,F30)</f>
        <v>3609212.17280688</v>
      </c>
      <c r="K30" s="288">
        <f t="shared" ref="K30:K33" si="12">SUM(C30,G30)</f>
        <v>3785109.3893591999</v>
      </c>
      <c r="L30" s="166">
        <f t="shared" si="8"/>
        <v>4.9000000000000004</v>
      </c>
      <c r="M30" s="23">
        <f>IFERROR(100/'Skjema total MA'!I30*K30,0)</f>
        <v>25.71915593194629</v>
      </c>
      <c r="N30" s="148"/>
    </row>
    <row r="31" spans="1:14" s="3" customFormat="1" ht="15.75" x14ac:dyDescent="0.2">
      <c r="A31" s="551" t="s">
        <v>375</v>
      </c>
      <c r="B31" s="279">
        <v>2208609.45683312</v>
      </c>
      <c r="C31" s="279">
        <v>2361000.0263008</v>
      </c>
      <c r="D31" s="166">
        <f t="shared" si="5"/>
        <v>6.9</v>
      </c>
      <c r="E31" s="11">
        <f>IFERROR(100/'Skjema total MA'!C31*C31,0)</f>
        <v>7.0182091047814996</v>
      </c>
      <c r="F31" s="288">
        <v>976277.490679999</v>
      </c>
      <c r="G31" s="288">
        <v>915185.75529</v>
      </c>
      <c r="H31" s="166">
        <f t="shared" si="6"/>
        <v>-6.3</v>
      </c>
      <c r="I31" s="363">
        <f>IFERROR(100/'Skjema total MA'!F31*G31,0)</f>
        <v>9.7969092756692735</v>
      </c>
      <c r="J31" s="288">
        <f t="shared" si="11"/>
        <v>3184886.9475131189</v>
      </c>
      <c r="K31" s="288">
        <f t="shared" si="12"/>
        <v>3276185.7815907998</v>
      </c>
      <c r="L31" s="166">
        <f t="shared" si="8"/>
        <v>2.9</v>
      </c>
      <c r="M31" s="23">
        <f>IFERROR(100/'Skjema total MA'!I31*K31,0)</f>
        <v>7.6221143354337411</v>
      </c>
      <c r="N31" s="148"/>
    </row>
    <row r="32" spans="1:14" ht="15.75" x14ac:dyDescent="0.2">
      <c r="A32" s="551" t="s">
        <v>376</v>
      </c>
      <c r="B32" s="279"/>
      <c r="C32" s="279"/>
      <c r="D32" s="166"/>
      <c r="E32" s="11"/>
      <c r="F32" s="288">
        <v>363992.69838000002</v>
      </c>
      <c r="G32" s="288">
        <v>392004.09732</v>
      </c>
      <c r="H32" s="166">
        <f t="shared" si="6"/>
        <v>7.7</v>
      </c>
      <c r="I32" s="363">
        <f>IFERROR(100/'Skjema total MA'!F32*G32,0)</f>
        <v>9.0475289431210371</v>
      </c>
      <c r="J32" s="288">
        <f t="shared" si="11"/>
        <v>363992.69838000002</v>
      </c>
      <c r="K32" s="288">
        <f t="shared" si="12"/>
        <v>392004.09732</v>
      </c>
      <c r="L32" s="166">
        <f t="shared" si="8"/>
        <v>7.7</v>
      </c>
      <c r="M32" s="23">
        <f>IFERROR(100/'Skjema total MA'!I32*K32,0)</f>
        <v>6.7781265776108004</v>
      </c>
    </row>
    <row r="33" spans="1:14" ht="15.75" x14ac:dyDescent="0.2">
      <c r="A33" s="551" t="s">
        <v>377</v>
      </c>
      <c r="B33" s="279"/>
      <c r="C33" s="279"/>
      <c r="D33" s="166"/>
      <c r="E33" s="11"/>
      <c r="F33" s="288">
        <v>227330.98417000001</v>
      </c>
      <c r="G33" s="288">
        <v>494605.59379000001</v>
      </c>
      <c r="H33" s="166">
        <f t="shared" si="6"/>
        <v>117.6</v>
      </c>
      <c r="I33" s="363">
        <f>IFERROR(100/'Skjema total MA'!F33*G33,0)</f>
        <v>19.769542662185632</v>
      </c>
      <c r="J33" s="288">
        <f t="shared" si="11"/>
        <v>227330.98417000001</v>
      </c>
      <c r="K33" s="288">
        <f t="shared" si="12"/>
        <v>494605.59379000001</v>
      </c>
      <c r="L33" s="166">
        <f t="shared" si="8"/>
        <v>117.6</v>
      </c>
      <c r="M33" s="23">
        <f>IFERROR(100/'Skjema total MA'!I34*K33,0)</f>
        <v>954.01439543258937</v>
      </c>
    </row>
    <row r="34" spans="1:14" ht="15.75" x14ac:dyDescent="0.2">
      <c r="A34" s="13" t="s">
        <v>372</v>
      </c>
      <c r="B34" s="234"/>
      <c r="C34" s="307"/>
      <c r="D34" s="171"/>
      <c r="E34" s="11"/>
      <c r="F34" s="306">
        <v>10619.26657</v>
      </c>
      <c r="G34" s="307">
        <v>9648.9389100000008</v>
      </c>
      <c r="H34" s="171">
        <f t="shared" si="6"/>
        <v>-9.1</v>
      </c>
      <c r="I34" s="11">
        <f>IFERROR(100/'Skjema total MA'!F34*G34,0)</f>
        <v>24.784632452042128</v>
      </c>
      <c r="J34" s="234">
        <f t="shared" si="7"/>
        <v>10619.26657</v>
      </c>
      <c r="K34" s="234">
        <f t="shared" si="7"/>
        <v>9648.9389100000008</v>
      </c>
      <c r="L34" s="371">
        <f t="shared" si="8"/>
        <v>-9.1</v>
      </c>
      <c r="M34" s="24">
        <f>IFERROR(100/'Skjema total MA'!I34*K34,0)</f>
        <v>18.611246488849861</v>
      </c>
    </row>
    <row r="35" spans="1:14" ht="15.75" x14ac:dyDescent="0.2">
      <c r="A35" s="13" t="s">
        <v>373</v>
      </c>
      <c r="B35" s="234">
        <v>229.88191</v>
      </c>
      <c r="C35" s="307">
        <v>336.08064999999999</v>
      </c>
      <c r="D35" s="171">
        <f t="shared" si="5"/>
        <v>46.2</v>
      </c>
      <c r="E35" s="11">
        <f>IFERROR(100/'Skjema total MA'!C35*C35,0)</f>
        <v>-2.815850609259352</v>
      </c>
      <c r="F35" s="306">
        <v>3004.4720200000002</v>
      </c>
      <c r="G35" s="307">
        <v>4710.89138</v>
      </c>
      <c r="H35" s="171">
        <f t="shared" si="6"/>
        <v>56.8</v>
      </c>
      <c r="I35" s="11">
        <f>IFERROR(100/'Skjema total MA'!F35*G35,0)</f>
        <v>7.3704590850407659</v>
      </c>
      <c r="J35" s="234">
        <f t="shared" si="7"/>
        <v>3234.3539300000002</v>
      </c>
      <c r="K35" s="234">
        <f t="shared" si="7"/>
        <v>5046.9720299999999</v>
      </c>
      <c r="L35" s="371">
        <f t="shared" si="8"/>
        <v>56</v>
      </c>
      <c r="M35" s="24">
        <f>IFERROR(100/'Skjema total MA'!I35*K35,0)</f>
        <v>9.7093504681467948</v>
      </c>
    </row>
    <row r="36" spans="1:14" ht="15.75" x14ac:dyDescent="0.2">
      <c r="A36" s="12" t="s">
        <v>290</v>
      </c>
      <c r="B36" s="234"/>
      <c r="C36" s="307"/>
      <c r="D36" s="171"/>
      <c r="E36" s="11"/>
      <c r="F36" s="317"/>
      <c r="G36" s="318"/>
      <c r="H36" s="171"/>
      <c r="I36" s="377"/>
      <c r="J36" s="234"/>
      <c r="K36" s="234"/>
      <c r="L36" s="371"/>
      <c r="M36" s="24"/>
    </row>
    <row r="37" spans="1:14" ht="15.75" x14ac:dyDescent="0.2">
      <c r="A37" s="12" t="s">
        <v>379</v>
      </c>
      <c r="B37" s="234"/>
      <c r="C37" s="307"/>
      <c r="D37" s="171"/>
      <c r="E37" s="11"/>
      <c r="F37" s="317"/>
      <c r="G37" s="319"/>
      <c r="H37" s="171"/>
      <c r="I37" s="377"/>
      <c r="J37" s="234"/>
      <c r="K37" s="234"/>
      <c r="L37" s="371"/>
      <c r="M37" s="24"/>
    </row>
    <row r="38" spans="1:14" ht="15.75" x14ac:dyDescent="0.2">
      <c r="A38" s="12" t="s">
        <v>380</v>
      </c>
      <c r="B38" s="234"/>
      <c r="C38" s="307"/>
      <c r="D38" s="171"/>
      <c r="E38" s="24"/>
      <c r="F38" s="317"/>
      <c r="G38" s="318"/>
      <c r="H38" s="171"/>
      <c r="I38" s="377"/>
      <c r="J38" s="234"/>
      <c r="K38" s="234"/>
      <c r="L38" s="371"/>
      <c r="M38" s="24"/>
    </row>
    <row r="39" spans="1:14" ht="15.75" x14ac:dyDescent="0.2">
      <c r="A39" s="18" t="s">
        <v>381</v>
      </c>
      <c r="B39" s="274"/>
      <c r="C39" s="313"/>
      <c r="D39" s="169"/>
      <c r="E39" s="36"/>
      <c r="F39" s="320"/>
      <c r="G39" s="321"/>
      <c r="H39" s="169"/>
      <c r="I39" s="36"/>
      <c r="J39" s="234"/>
      <c r="K39" s="234"/>
      <c r="L39" s="372"/>
      <c r="M39" s="36"/>
    </row>
    <row r="40" spans="1:14" ht="15.75" x14ac:dyDescent="0.25">
      <c r="A40" s="47"/>
      <c r="B40" s="251"/>
      <c r="C40" s="251"/>
      <c r="D40" s="699"/>
      <c r="E40" s="699"/>
      <c r="F40" s="699"/>
      <c r="G40" s="699"/>
      <c r="H40" s="699"/>
      <c r="I40" s="699"/>
      <c r="J40" s="699"/>
      <c r="K40" s="699"/>
      <c r="L40" s="699"/>
      <c r="M40" s="300"/>
    </row>
    <row r="41" spans="1:14" x14ac:dyDescent="0.2">
      <c r="A41" s="155"/>
    </row>
    <row r="42" spans="1:14" ht="15.75" x14ac:dyDescent="0.25">
      <c r="A42" s="147" t="s">
        <v>279</v>
      </c>
      <c r="B42" s="700"/>
      <c r="C42" s="700"/>
      <c r="D42" s="700"/>
      <c r="E42" s="297"/>
      <c r="F42" s="701"/>
      <c r="G42" s="701"/>
      <c r="H42" s="701"/>
      <c r="I42" s="300"/>
      <c r="J42" s="701"/>
      <c r="K42" s="701"/>
      <c r="L42" s="701"/>
      <c r="M42" s="300"/>
    </row>
    <row r="43" spans="1:14" ht="15.75" x14ac:dyDescent="0.25">
      <c r="A43" s="163"/>
      <c r="B43" s="301"/>
      <c r="C43" s="301"/>
      <c r="D43" s="301"/>
      <c r="E43" s="301"/>
      <c r="F43" s="300"/>
      <c r="G43" s="300"/>
      <c r="H43" s="300"/>
      <c r="I43" s="300"/>
      <c r="J43" s="300"/>
      <c r="K43" s="300"/>
      <c r="L43" s="300"/>
      <c r="M43" s="300"/>
    </row>
    <row r="44" spans="1:14" ht="15.75" x14ac:dyDescent="0.25">
      <c r="A44" s="245"/>
      <c r="B44" s="696" t="s">
        <v>0</v>
      </c>
      <c r="C44" s="697"/>
      <c r="D44" s="697"/>
      <c r="E44" s="241"/>
      <c r="F44" s="300"/>
      <c r="G44" s="300"/>
      <c r="H44" s="300"/>
      <c r="I44" s="300"/>
      <c r="J44" s="300"/>
      <c r="K44" s="300"/>
      <c r="L44" s="300"/>
      <c r="M44" s="300"/>
    </row>
    <row r="45" spans="1:14" s="3" customFormat="1" x14ac:dyDescent="0.2">
      <c r="A45" s="140"/>
      <c r="B45" s="152" t="s">
        <v>422</v>
      </c>
      <c r="C45" s="152" t="s">
        <v>423</v>
      </c>
      <c r="D45" s="162" t="s">
        <v>3</v>
      </c>
      <c r="E45" s="162" t="s">
        <v>29</v>
      </c>
      <c r="F45" s="174"/>
      <c r="G45" s="174"/>
      <c r="H45" s="173"/>
      <c r="I45" s="173"/>
      <c r="J45" s="174"/>
      <c r="K45" s="174"/>
      <c r="L45" s="173"/>
      <c r="M45" s="173"/>
      <c r="N45" s="148"/>
    </row>
    <row r="46" spans="1:14" s="3" customFormat="1" x14ac:dyDescent="0.2">
      <c r="A46" s="666"/>
      <c r="B46" s="242"/>
      <c r="C46" s="242"/>
      <c r="D46" s="243" t="s">
        <v>4</v>
      </c>
      <c r="E46" s="156" t="s">
        <v>30</v>
      </c>
      <c r="F46" s="173"/>
      <c r="G46" s="173"/>
      <c r="H46" s="173"/>
      <c r="I46" s="173"/>
      <c r="J46" s="173"/>
      <c r="K46" s="173"/>
      <c r="L46" s="173"/>
      <c r="M46" s="173"/>
      <c r="N46" s="148"/>
    </row>
    <row r="47" spans="1:14" s="3" customFormat="1" ht="15.75" x14ac:dyDescent="0.2">
      <c r="A47" s="14" t="s">
        <v>23</v>
      </c>
      <c r="B47" s="308">
        <v>408964.05199000001</v>
      </c>
      <c r="C47" s="309">
        <v>405258.93755999999</v>
      </c>
      <c r="D47" s="370">
        <f t="shared" ref="D47:D58" si="13">IF(B47=0, "    ---- ", IF(ABS(ROUND(100/B47*C47-100,1))&lt;999,ROUND(100/B47*C47-100,1),IF(ROUND(100/B47*C47-100,1)&gt;999,999,-999)))</f>
        <v>-0.9</v>
      </c>
      <c r="E47" s="11">
        <f>IFERROR(100/'Skjema total MA'!C47*C47,0)</f>
        <v>12.552526145188045</v>
      </c>
      <c r="F47" s="145"/>
      <c r="G47" s="33"/>
      <c r="H47" s="159"/>
      <c r="I47" s="159"/>
      <c r="J47" s="37"/>
      <c r="K47" s="37"/>
      <c r="L47" s="159"/>
      <c r="M47" s="159"/>
      <c r="N47" s="148"/>
    </row>
    <row r="48" spans="1:14" s="3" customFormat="1" ht="15.75" x14ac:dyDescent="0.2">
      <c r="A48" s="38" t="s">
        <v>382</v>
      </c>
      <c r="B48" s="279">
        <v>78399.716579999993</v>
      </c>
      <c r="C48" s="280">
        <v>82388.748399999997</v>
      </c>
      <c r="D48" s="252">
        <f t="shared" si="13"/>
        <v>5.0999999999999996</v>
      </c>
      <c r="E48" s="27">
        <f>IFERROR(100/'Skjema total MA'!C48*C48,0)</f>
        <v>4.5342821991572739</v>
      </c>
      <c r="F48" s="145"/>
      <c r="G48" s="33"/>
      <c r="H48" s="145"/>
      <c r="I48" s="145"/>
      <c r="J48" s="33"/>
      <c r="K48" s="33"/>
      <c r="L48" s="159"/>
      <c r="M48" s="159"/>
      <c r="N48" s="148"/>
    </row>
    <row r="49" spans="1:14" s="3" customFormat="1" ht="15.75" x14ac:dyDescent="0.2">
      <c r="A49" s="38" t="s">
        <v>383</v>
      </c>
      <c r="B49" s="44">
        <v>330564.33541</v>
      </c>
      <c r="C49" s="285">
        <v>322870.18916000001</v>
      </c>
      <c r="D49" s="252">
        <f>IF(B49=0, "    ---- ", IF(ABS(ROUND(100/B49*C49-100,1))&lt;999,ROUND(100/B49*C49-100,1),IF(ROUND(100/B49*C49-100,1)&gt;999,999,-999)))</f>
        <v>-2.2999999999999998</v>
      </c>
      <c r="E49" s="27">
        <f>IFERROR(100/'Skjema total MA'!C49*C49,0)</f>
        <v>22.874479718036369</v>
      </c>
      <c r="F49" s="145"/>
      <c r="G49" s="33"/>
      <c r="H49" s="145"/>
      <c r="I49" s="145"/>
      <c r="J49" s="37"/>
      <c r="K49" s="37"/>
      <c r="L49" s="159"/>
      <c r="M49" s="159"/>
      <c r="N49" s="148"/>
    </row>
    <row r="50" spans="1:14" s="3" customFormat="1" x14ac:dyDescent="0.2">
      <c r="A50" s="294" t="s">
        <v>6</v>
      </c>
      <c r="B50" s="288" t="s">
        <v>415</v>
      </c>
      <c r="C50" s="289" t="s">
        <v>415</v>
      </c>
      <c r="D50" s="252"/>
      <c r="E50" s="23"/>
      <c r="F50" s="145"/>
      <c r="G50" s="33"/>
      <c r="H50" s="145"/>
      <c r="I50" s="145"/>
      <c r="J50" s="33"/>
      <c r="K50" s="33"/>
      <c r="L50" s="159"/>
      <c r="M50" s="159"/>
      <c r="N50" s="148"/>
    </row>
    <row r="51" spans="1:14" s="3" customFormat="1" x14ac:dyDescent="0.2">
      <c r="A51" s="294" t="s">
        <v>7</v>
      </c>
      <c r="B51" s="288" t="s">
        <v>415</v>
      </c>
      <c r="C51" s="289" t="s">
        <v>415</v>
      </c>
      <c r="D51" s="252"/>
      <c r="E51" s="23"/>
      <c r="F51" s="145"/>
      <c r="G51" s="33"/>
      <c r="H51" s="145"/>
      <c r="I51" s="145"/>
      <c r="J51" s="33"/>
      <c r="K51" s="33"/>
      <c r="L51" s="159"/>
      <c r="M51" s="159"/>
      <c r="N51" s="148"/>
    </row>
    <row r="52" spans="1:14" s="3" customFormat="1" x14ac:dyDescent="0.2">
      <c r="A52" s="294" t="s">
        <v>8</v>
      </c>
      <c r="B52" s="288" t="s">
        <v>415</v>
      </c>
      <c r="C52" s="289" t="s">
        <v>415</v>
      </c>
      <c r="D52" s="252"/>
      <c r="E52" s="23"/>
      <c r="F52" s="145"/>
      <c r="G52" s="33"/>
      <c r="H52" s="145"/>
      <c r="I52" s="145"/>
      <c r="J52" s="33"/>
      <c r="K52" s="33"/>
      <c r="L52" s="159"/>
      <c r="M52" s="159"/>
      <c r="N52" s="148"/>
    </row>
    <row r="53" spans="1:14" s="3" customFormat="1" ht="15.75" x14ac:dyDescent="0.2">
      <c r="A53" s="39" t="s">
        <v>384</v>
      </c>
      <c r="B53" s="308">
        <v>34.057000000000002</v>
      </c>
      <c r="C53" s="309">
        <v>47.161000000000001</v>
      </c>
      <c r="D53" s="371">
        <f t="shared" si="13"/>
        <v>38.5</v>
      </c>
      <c r="E53" s="11">
        <f>IFERROR(100/'Skjema total MA'!C53*C53,0)</f>
        <v>2.4725163562453953E-2</v>
      </c>
      <c r="F53" s="145"/>
      <c r="G53" s="33"/>
      <c r="H53" s="145"/>
      <c r="I53" s="145"/>
      <c r="J53" s="33"/>
      <c r="K53" s="33"/>
      <c r="L53" s="159"/>
      <c r="M53" s="159"/>
      <c r="N53" s="148"/>
    </row>
    <row r="54" spans="1:14" s="3" customFormat="1" ht="15.75" x14ac:dyDescent="0.2">
      <c r="A54" s="38" t="s">
        <v>382</v>
      </c>
      <c r="B54" s="279">
        <v>34.057000000000002</v>
      </c>
      <c r="C54" s="280">
        <v>47.161000000000001</v>
      </c>
      <c r="D54" s="252">
        <f t="shared" si="13"/>
        <v>38.5</v>
      </c>
      <c r="E54" s="27">
        <f>IFERROR(100/'Skjema total MA'!C54*C54,0)</f>
        <v>4.548492508581433E-2</v>
      </c>
      <c r="F54" s="145"/>
      <c r="G54" s="33"/>
      <c r="H54" s="145"/>
      <c r="I54" s="145"/>
      <c r="J54" s="33"/>
      <c r="K54" s="33"/>
      <c r="L54" s="159"/>
      <c r="M54" s="159"/>
      <c r="N54" s="148"/>
    </row>
    <row r="55" spans="1:14" s="3" customFormat="1" ht="15.75" x14ac:dyDescent="0.2">
      <c r="A55" s="38" t="s">
        <v>383</v>
      </c>
      <c r="B55" s="279"/>
      <c r="C55" s="280"/>
      <c r="D55" s="252"/>
      <c r="E55" s="27"/>
      <c r="F55" s="145"/>
      <c r="G55" s="33"/>
      <c r="H55" s="145"/>
      <c r="I55" s="145"/>
      <c r="J55" s="33"/>
      <c r="K55" s="33"/>
      <c r="L55" s="159"/>
      <c r="M55" s="159"/>
      <c r="N55" s="148"/>
    </row>
    <row r="56" spans="1:14" s="3" customFormat="1" ht="15.75" x14ac:dyDescent="0.2">
      <c r="A56" s="39" t="s">
        <v>385</v>
      </c>
      <c r="B56" s="308">
        <v>1080.56</v>
      </c>
      <c r="C56" s="309">
        <v>3506.3490000000002</v>
      </c>
      <c r="D56" s="371">
        <f t="shared" si="13"/>
        <v>224.5</v>
      </c>
      <c r="E56" s="11">
        <f>IFERROR(100/'Skjema total MA'!C56*C56,0)</f>
        <v>2.2536764837502608</v>
      </c>
      <c r="F56" s="145"/>
      <c r="G56" s="33"/>
      <c r="H56" s="145"/>
      <c r="I56" s="145"/>
      <c r="J56" s="33"/>
      <c r="K56" s="33"/>
      <c r="L56" s="159"/>
      <c r="M56" s="159"/>
      <c r="N56" s="148"/>
    </row>
    <row r="57" spans="1:14" s="3" customFormat="1" ht="15.75" x14ac:dyDescent="0.2">
      <c r="A57" s="38" t="s">
        <v>382</v>
      </c>
      <c r="B57" s="279">
        <v>1080.56</v>
      </c>
      <c r="C57" s="280">
        <v>2952.4360000000001</v>
      </c>
      <c r="D57" s="252">
        <f t="shared" si="13"/>
        <v>173.2</v>
      </c>
      <c r="E57" s="27">
        <f>IFERROR(100/'Skjema total MA'!C57*C57,0)</f>
        <v>3.3176793904480091</v>
      </c>
      <c r="F57" s="145"/>
      <c r="G57" s="33"/>
      <c r="H57" s="145"/>
      <c r="I57" s="145"/>
      <c r="J57" s="33"/>
      <c r="K57" s="33"/>
      <c r="L57" s="159"/>
      <c r="M57" s="159"/>
      <c r="N57" s="148"/>
    </row>
    <row r="58" spans="1:14" s="3" customFormat="1" ht="15.75" x14ac:dyDescent="0.2">
      <c r="A58" s="46" t="s">
        <v>383</v>
      </c>
      <c r="B58" s="281">
        <v>0</v>
      </c>
      <c r="C58" s="282">
        <v>553.91300000000001</v>
      </c>
      <c r="D58" s="253" t="str">
        <f t="shared" si="13"/>
        <v xml:space="preserve">    ---- </v>
      </c>
      <c r="E58" s="22">
        <f>IFERROR(100/'Skjema total MA'!C58*C58,0)</f>
        <v>98.822507238904365</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95"/>
      <c r="C62" s="695"/>
      <c r="D62" s="695"/>
      <c r="E62" s="297"/>
      <c r="F62" s="695"/>
      <c r="G62" s="695"/>
      <c r="H62" s="695"/>
      <c r="I62" s="297"/>
      <c r="J62" s="695"/>
      <c r="K62" s="695"/>
      <c r="L62" s="695"/>
      <c r="M62" s="297"/>
    </row>
    <row r="63" spans="1:14" x14ac:dyDescent="0.2">
      <c r="A63" s="144"/>
      <c r="B63" s="696" t="s">
        <v>0</v>
      </c>
      <c r="C63" s="697"/>
      <c r="D63" s="698"/>
      <c r="E63" s="298"/>
      <c r="F63" s="697" t="s">
        <v>1</v>
      </c>
      <c r="G63" s="697"/>
      <c r="H63" s="697"/>
      <c r="I63" s="302"/>
      <c r="J63" s="696" t="s">
        <v>2</v>
      </c>
      <c r="K63" s="697"/>
      <c r="L63" s="697"/>
      <c r="M63" s="302"/>
    </row>
    <row r="64" spans="1:14" x14ac:dyDescent="0.2">
      <c r="A64" s="140"/>
      <c r="B64" s="152" t="s">
        <v>422</v>
      </c>
      <c r="C64" s="152" t="s">
        <v>423</v>
      </c>
      <c r="D64" s="243" t="s">
        <v>3</v>
      </c>
      <c r="E64" s="303" t="s">
        <v>29</v>
      </c>
      <c r="F64" s="152" t="s">
        <v>422</v>
      </c>
      <c r="G64" s="152" t="s">
        <v>423</v>
      </c>
      <c r="H64" s="243" t="s">
        <v>3</v>
      </c>
      <c r="I64" s="303" t="s">
        <v>29</v>
      </c>
      <c r="J64" s="152" t="s">
        <v>422</v>
      </c>
      <c r="K64" s="152" t="s">
        <v>423</v>
      </c>
      <c r="L64" s="243" t="s">
        <v>3</v>
      </c>
      <c r="M64" s="162" t="s">
        <v>29</v>
      </c>
    </row>
    <row r="65" spans="1:14" x14ac:dyDescent="0.2">
      <c r="A65" s="666"/>
      <c r="B65" s="156"/>
      <c r="C65" s="156"/>
      <c r="D65" s="244" t="s">
        <v>4</v>
      </c>
      <c r="E65" s="156" t="s">
        <v>30</v>
      </c>
      <c r="F65" s="161"/>
      <c r="G65" s="161"/>
      <c r="H65" s="243" t="s">
        <v>4</v>
      </c>
      <c r="I65" s="156" t="s">
        <v>30</v>
      </c>
      <c r="J65" s="161"/>
      <c r="K65" s="205"/>
      <c r="L65" s="156" t="s">
        <v>4</v>
      </c>
      <c r="M65" s="156" t="s">
        <v>30</v>
      </c>
    </row>
    <row r="66" spans="1:14" ht="15.75" x14ac:dyDescent="0.2">
      <c r="A66" s="14" t="s">
        <v>23</v>
      </c>
      <c r="B66" s="350">
        <v>358628.28729000001</v>
      </c>
      <c r="C66" s="350">
        <v>378389.27283999999</v>
      </c>
      <c r="D66" s="347">
        <f t="shared" ref="D66:D111" si="14">IF(B66=0, "    ---- ", IF(ABS(ROUND(100/B66*C66-100,1))&lt;999,ROUND(100/B66*C66-100,1),IF(ROUND(100/B66*C66-100,1)&gt;999,999,-999)))</f>
        <v>5.5</v>
      </c>
      <c r="E66" s="11">
        <f>IFERROR(100/'Skjema total MA'!C66*C66,0)</f>
        <v>7.044525469340658</v>
      </c>
      <c r="F66" s="349">
        <v>1603026.5041899998</v>
      </c>
      <c r="G66" s="349">
        <v>1824175.4605400001</v>
      </c>
      <c r="H66" s="347">
        <f t="shared" ref="H66:H111" si="15">IF(F66=0, "    ---- ", IF(ABS(ROUND(100/F66*G66-100,1))&lt;999,ROUND(100/F66*G66-100,1),IF(ROUND(100/F66*G66-100,1)&gt;999,999,-999)))</f>
        <v>13.8</v>
      </c>
      <c r="I66" s="11">
        <f>IFERROR(100/'Skjema total MA'!F66*G66,0)</f>
        <v>11.601436183923752</v>
      </c>
      <c r="J66" s="307">
        <f t="shared" ref="J66:K86" si="16">SUM(B66,F66)</f>
        <v>1961654.7914799997</v>
      </c>
      <c r="K66" s="314">
        <f t="shared" si="16"/>
        <v>2202564.7333800001</v>
      </c>
      <c r="L66" s="371">
        <f t="shared" ref="L66:L111" si="17">IF(J66=0, "    ---- ", IF(ABS(ROUND(100/J66*K66-100,1))&lt;999,ROUND(100/J66*K66-100,1),IF(ROUND(100/J66*K66-100,1)&gt;999,999,-999)))</f>
        <v>12.3</v>
      </c>
      <c r="M66" s="11">
        <f>IFERROR(100/'Skjema total MA'!I66*K66,0)</f>
        <v>10.441120846966937</v>
      </c>
    </row>
    <row r="67" spans="1:14" x14ac:dyDescent="0.2">
      <c r="A67" s="365" t="s">
        <v>9</v>
      </c>
      <c r="B67" s="44">
        <v>123314.58164</v>
      </c>
      <c r="C67" s="145">
        <v>112917.83835000001</v>
      </c>
      <c r="D67" s="166">
        <f t="shared" si="14"/>
        <v>-8.4</v>
      </c>
      <c r="E67" s="27">
        <f>IFERROR(100/'Skjema total MA'!C67*C67,0)</f>
        <v>2.7052539159022837</v>
      </c>
      <c r="F67" s="232"/>
      <c r="G67" s="145"/>
      <c r="H67" s="166"/>
      <c r="I67" s="27"/>
      <c r="J67" s="285">
        <f t="shared" si="16"/>
        <v>123314.58164</v>
      </c>
      <c r="K67" s="44">
        <f t="shared" si="16"/>
        <v>112917.83835000001</v>
      </c>
      <c r="L67" s="252">
        <f t="shared" si="17"/>
        <v>-8.4</v>
      </c>
      <c r="M67" s="27">
        <f>IFERROR(100/'Skjema total MA'!I67*K67,0)</f>
        <v>2.7052539159022837</v>
      </c>
    </row>
    <row r="68" spans="1:14" x14ac:dyDescent="0.2">
      <c r="A68" s="21" t="s">
        <v>10</v>
      </c>
      <c r="B68" s="290">
        <v>25729.36937</v>
      </c>
      <c r="C68" s="291">
        <v>23543.544470000001</v>
      </c>
      <c r="D68" s="166">
        <f t="shared" si="14"/>
        <v>-8.5</v>
      </c>
      <c r="E68" s="27">
        <f>IFERROR(100/'Skjema total MA'!C68*C68,0)</f>
        <v>20.750790149811273</v>
      </c>
      <c r="F68" s="290">
        <v>1496949.4525299999</v>
      </c>
      <c r="G68" s="291">
        <v>1706090.8590200001</v>
      </c>
      <c r="H68" s="166">
        <f t="shared" si="15"/>
        <v>14</v>
      </c>
      <c r="I68" s="27">
        <f>IFERROR(100/'Skjema total MA'!F68*G68,0)</f>
        <v>10.996264713490046</v>
      </c>
      <c r="J68" s="285">
        <f t="shared" si="16"/>
        <v>1522678.8218999999</v>
      </c>
      <c r="K68" s="44">
        <f t="shared" si="16"/>
        <v>1729634.4034900002</v>
      </c>
      <c r="L68" s="252">
        <f t="shared" si="17"/>
        <v>13.6</v>
      </c>
      <c r="M68" s="27">
        <f>IFERROR(100/'Skjema total MA'!I68*K68,0)</f>
        <v>11.067079191116649</v>
      </c>
    </row>
    <row r="69" spans="1:14" ht="15.75" x14ac:dyDescent="0.2">
      <c r="A69" s="294" t="s">
        <v>386</v>
      </c>
      <c r="B69" s="279"/>
      <c r="C69" s="279"/>
      <c r="D69" s="166"/>
      <c r="E69" s="363"/>
      <c r="F69" s="279"/>
      <c r="G69" s="279"/>
      <c r="H69" s="166"/>
      <c r="I69" s="363"/>
      <c r="J69" s="288"/>
      <c r="K69" s="288"/>
      <c r="L69" s="166"/>
      <c r="M69" s="23"/>
    </row>
    <row r="70" spans="1:14" x14ac:dyDescent="0.2">
      <c r="A70" s="294" t="s">
        <v>12</v>
      </c>
      <c r="B70" s="292"/>
      <c r="C70" s="293"/>
      <c r="D70" s="166"/>
      <c r="E70" s="363"/>
      <c r="F70" s="279"/>
      <c r="G70" s="279"/>
      <c r="H70" s="166"/>
      <c r="I70" s="363"/>
      <c r="J70" s="288"/>
      <c r="K70" s="288"/>
      <c r="L70" s="166"/>
      <c r="M70" s="23"/>
    </row>
    <row r="71" spans="1:14" x14ac:dyDescent="0.2">
      <c r="A71" s="294" t="s">
        <v>13</v>
      </c>
      <c r="B71" s="233"/>
      <c r="C71" s="287"/>
      <c r="D71" s="166"/>
      <c r="E71" s="363"/>
      <c r="F71" s="279"/>
      <c r="G71" s="279"/>
      <c r="H71" s="166"/>
      <c r="I71" s="363"/>
      <c r="J71" s="288"/>
      <c r="K71" s="288"/>
      <c r="L71" s="166"/>
      <c r="M71" s="23"/>
    </row>
    <row r="72" spans="1:14" ht="15.75" x14ac:dyDescent="0.2">
      <c r="A72" s="294" t="s">
        <v>387</v>
      </c>
      <c r="B72" s="279"/>
      <c r="C72" s="279"/>
      <c r="D72" s="166"/>
      <c r="E72" s="363"/>
      <c r="F72" s="279"/>
      <c r="G72" s="279"/>
      <c r="H72" s="166"/>
      <c r="I72" s="363"/>
      <c r="J72" s="288"/>
      <c r="K72" s="288"/>
      <c r="L72" s="166"/>
      <c r="M72" s="23"/>
    </row>
    <row r="73" spans="1:14" x14ac:dyDescent="0.2">
      <c r="A73" s="294" t="s">
        <v>12</v>
      </c>
      <c r="B73" s="233"/>
      <c r="C73" s="287"/>
      <c r="D73" s="166"/>
      <c r="E73" s="363"/>
      <c r="F73" s="279"/>
      <c r="G73" s="279"/>
      <c r="H73" s="166"/>
      <c r="I73" s="363"/>
      <c r="J73" s="288"/>
      <c r="K73" s="288"/>
      <c r="L73" s="166"/>
      <c r="M73" s="23"/>
    </row>
    <row r="74" spans="1:14" s="3" customFormat="1" x14ac:dyDescent="0.2">
      <c r="A74" s="294" t="s">
        <v>13</v>
      </c>
      <c r="B74" s="233"/>
      <c r="C74" s="287"/>
      <c r="D74" s="166"/>
      <c r="E74" s="363"/>
      <c r="F74" s="279"/>
      <c r="G74" s="279"/>
      <c r="H74" s="166"/>
      <c r="I74" s="363"/>
      <c r="J74" s="288"/>
      <c r="K74" s="288"/>
      <c r="L74" s="166"/>
      <c r="M74" s="23"/>
      <c r="N74" s="148"/>
    </row>
    <row r="75" spans="1:14" s="3" customFormat="1" x14ac:dyDescent="0.2">
      <c r="A75" s="21" t="s">
        <v>356</v>
      </c>
      <c r="B75" s="232">
        <v>129743.24013999999</v>
      </c>
      <c r="C75" s="145">
        <v>154004.99758</v>
      </c>
      <c r="D75" s="166">
        <f t="shared" si="14"/>
        <v>18.7</v>
      </c>
      <c r="E75" s="27">
        <f>IFERROR(100/'Skjema total MA'!C75*C75,0)</f>
        <v>75.837069746446531</v>
      </c>
      <c r="F75" s="232">
        <v>106077.05166</v>
      </c>
      <c r="G75" s="145">
        <v>118084.60152</v>
      </c>
      <c r="H75" s="166">
        <f t="shared" si="15"/>
        <v>11.3</v>
      </c>
      <c r="I75" s="27">
        <f>IFERROR(100/'Skjema total MA'!F75*G75,0)</f>
        <v>56.630310633647909</v>
      </c>
      <c r="J75" s="285">
        <f t="shared" si="16"/>
        <v>235820.29180000001</v>
      </c>
      <c r="K75" s="44">
        <f t="shared" si="16"/>
        <v>272089.59909999999</v>
      </c>
      <c r="L75" s="252">
        <f t="shared" si="17"/>
        <v>15.4</v>
      </c>
      <c r="M75" s="27">
        <f>IFERROR(100/'Skjema total MA'!I75*K75,0)</f>
        <v>66.106649065807574</v>
      </c>
      <c r="N75" s="148"/>
    </row>
    <row r="76" spans="1:14" s="3" customFormat="1" x14ac:dyDescent="0.2">
      <c r="A76" s="21" t="s">
        <v>355</v>
      </c>
      <c r="B76" s="232">
        <v>79841.096139999994</v>
      </c>
      <c r="C76" s="145">
        <v>87922.892439999996</v>
      </c>
      <c r="D76" s="166">
        <f t="shared" ref="D76" si="18">IF(B76=0, "    ---- ", IF(ABS(ROUND(100/B76*C76-100,1))&lt;999,ROUND(100/B76*C76-100,1),IF(ROUND(100/B76*C76-100,1)&gt;999,999,-999)))</f>
        <v>10.1</v>
      </c>
      <c r="E76" s="27">
        <f>IFERROR(100/'Skjema total MA'!C77*C76,0)</f>
        <v>2.0816982407708915</v>
      </c>
      <c r="F76" s="232"/>
      <c r="G76" s="145"/>
      <c r="H76" s="166"/>
      <c r="I76" s="27"/>
      <c r="J76" s="285">
        <f t="shared" ref="J76" si="19">SUM(B76,F76)</f>
        <v>79841.096139999994</v>
      </c>
      <c r="K76" s="44">
        <f t="shared" ref="K76" si="20">SUM(C76,G76)</f>
        <v>87922.892439999996</v>
      </c>
      <c r="L76" s="252">
        <f t="shared" ref="L76" si="21">IF(J76=0, "    ---- ", IF(ABS(ROUND(100/J76*K76-100,1))&lt;999,ROUND(100/J76*K76-100,1),IF(ROUND(100/J76*K76-100,1)&gt;999,999,-999)))</f>
        <v>10.1</v>
      </c>
      <c r="M76" s="27">
        <f>IFERROR(100/'Skjema total MA'!I77*K76,0)</f>
        <v>0.4455837818821306</v>
      </c>
      <c r="N76" s="148"/>
    </row>
    <row r="77" spans="1:14" ht="15.75" x14ac:dyDescent="0.2">
      <c r="A77" s="21" t="s">
        <v>388</v>
      </c>
      <c r="B77" s="232">
        <v>149043.95101000002</v>
      </c>
      <c r="C77" s="232">
        <v>136461.38282</v>
      </c>
      <c r="D77" s="166">
        <f t="shared" si="14"/>
        <v>-8.4</v>
      </c>
      <c r="E77" s="27">
        <f>IFERROR(100/'Skjema total MA'!C77*C77,0)</f>
        <v>3.2309153243953168</v>
      </c>
      <c r="F77" s="232">
        <v>1492571.3896999999</v>
      </c>
      <c r="G77" s="145">
        <v>1701478.8220200001</v>
      </c>
      <c r="H77" s="166">
        <f t="shared" si="15"/>
        <v>14</v>
      </c>
      <c r="I77" s="27">
        <f>IFERROR(100/'Skjema total MA'!F77*G77,0)</f>
        <v>10.97129894439909</v>
      </c>
      <c r="J77" s="285">
        <f t="shared" si="16"/>
        <v>1641615.3407099999</v>
      </c>
      <c r="K77" s="44">
        <f t="shared" si="16"/>
        <v>1837940.20484</v>
      </c>
      <c r="L77" s="252">
        <f t="shared" si="17"/>
        <v>12</v>
      </c>
      <c r="M77" s="27">
        <f>IFERROR(100/'Skjema total MA'!I77*K77,0)</f>
        <v>9.3144836869953309</v>
      </c>
    </row>
    <row r="78" spans="1:14" x14ac:dyDescent="0.2">
      <c r="A78" s="21" t="s">
        <v>9</v>
      </c>
      <c r="B78" s="232">
        <v>123314.58164</v>
      </c>
      <c r="C78" s="145">
        <v>112917.83835000001</v>
      </c>
      <c r="D78" s="166">
        <f t="shared" si="14"/>
        <v>-8.4</v>
      </c>
      <c r="E78" s="27">
        <f>IFERROR(100/'Skjema total MA'!C78*C78,0)</f>
        <v>2.745898384539653</v>
      </c>
      <c r="F78" s="232"/>
      <c r="G78" s="145"/>
      <c r="H78" s="166"/>
      <c r="I78" s="27"/>
      <c r="J78" s="285">
        <f t="shared" si="16"/>
        <v>123314.58164</v>
      </c>
      <c r="K78" s="44">
        <f t="shared" si="16"/>
        <v>112917.83835000001</v>
      </c>
      <c r="L78" s="252">
        <f t="shared" si="17"/>
        <v>-8.4</v>
      </c>
      <c r="M78" s="27">
        <f>IFERROR(100/'Skjema total MA'!I78*K78,0)</f>
        <v>2.745898384539653</v>
      </c>
    </row>
    <row r="79" spans="1:14" x14ac:dyDescent="0.2">
      <c r="A79" s="21" t="s">
        <v>10</v>
      </c>
      <c r="B79" s="290">
        <v>25729.36937</v>
      </c>
      <c r="C79" s="291">
        <v>23543.544470000001</v>
      </c>
      <c r="D79" s="166">
        <f t="shared" si="14"/>
        <v>-8.5</v>
      </c>
      <c r="E79" s="27">
        <f>IFERROR(100/'Skjema total MA'!C79*C79,0)</f>
        <v>21.138583045428138</v>
      </c>
      <c r="F79" s="290">
        <v>1492571.3896999999</v>
      </c>
      <c r="G79" s="291">
        <v>1701478.8220200001</v>
      </c>
      <c r="H79" s="166">
        <f t="shared" si="15"/>
        <v>14</v>
      </c>
      <c r="I79" s="27">
        <f>IFERROR(100/'Skjema total MA'!F79*G79,0)</f>
        <v>10.97129894439909</v>
      </c>
      <c r="J79" s="285">
        <f t="shared" si="16"/>
        <v>1518300.7590699999</v>
      </c>
      <c r="K79" s="44">
        <f t="shared" si="16"/>
        <v>1725022.3664900002</v>
      </c>
      <c r="L79" s="252">
        <f t="shared" si="17"/>
        <v>13.6</v>
      </c>
      <c r="M79" s="27">
        <f>IFERROR(100/'Skjema total MA'!I79*K79,0)</f>
        <v>11.04379670738003</v>
      </c>
    </row>
    <row r="80" spans="1:14" ht="15.75" x14ac:dyDescent="0.2">
      <c r="A80" s="294" t="s">
        <v>386</v>
      </c>
      <c r="B80" s="279"/>
      <c r="C80" s="279"/>
      <c r="D80" s="166"/>
      <c r="E80" s="363"/>
      <c r="F80" s="279"/>
      <c r="G80" s="279"/>
      <c r="H80" s="166"/>
      <c r="I80" s="363"/>
      <c r="J80" s="288"/>
      <c r="K80" s="288"/>
      <c r="L80" s="166"/>
      <c r="M80" s="23"/>
    </row>
    <row r="81" spans="1:13" x14ac:dyDescent="0.2">
      <c r="A81" s="294" t="s">
        <v>12</v>
      </c>
      <c r="B81" s="233"/>
      <c r="C81" s="287"/>
      <c r="D81" s="166"/>
      <c r="E81" s="363"/>
      <c r="F81" s="279"/>
      <c r="G81" s="279"/>
      <c r="H81" s="166"/>
      <c r="I81" s="363"/>
      <c r="J81" s="288"/>
      <c r="K81" s="288"/>
      <c r="L81" s="166"/>
      <c r="M81" s="23"/>
    </row>
    <row r="82" spans="1:13" x14ac:dyDescent="0.2">
      <c r="A82" s="294" t="s">
        <v>13</v>
      </c>
      <c r="B82" s="233"/>
      <c r="C82" s="287"/>
      <c r="D82" s="166"/>
      <c r="E82" s="363"/>
      <c r="F82" s="279"/>
      <c r="G82" s="279"/>
      <c r="H82" s="166"/>
      <c r="I82" s="363"/>
      <c r="J82" s="288"/>
      <c r="K82" s="288"/>
      <c r="L82" s="166"/>
      <c r="M82" s="23"/>
    </row>
    <row r="83" spans="1:13" ht="15.75" x14ac:dyDescent="0.2">
      <c r="A83" s="294" t="s">
        <v>387</v>
      </c>
      <c r="B83" s="279"/>
      <c r="C83" s="279"/>
      <c r="D83" s="166"/>
      <c r="E83" s="363"/>
      <c r="F83" s="279"/>
      <c r="G83" s="279"/>
      <c r="H83" s="166"/>
      <c r="I83" s="363"/>
      <c r="J83" s="288"/>
      <c r="K83" s="288"/>
      <c r="L83" s="166"/>
      <c r="M83" s="23"/>
    </row>
    <row r="84" spans="1:13" x14ac:dyDescent="0.2">
      <c r="A84" s="294" t="s">
        <v>12</v>
      </c>
      <c r="B84" s="233"/>
      <c r="C84" s="287"/>
      <c r="D84" s="166"/>
      <c r="E84" s="363"/>
      <c r="F84" s="279"/>
      <c r="G84" s="279"/>
      <c r="H84" s="166"/>
      <c r="I84" s="363"/>
      <c r="J84" s="288"/>
      <c r="K84" s="288"/>
      <c r="L84" s="166"/>
      <c r="M84" s="23"/>
    </row>
    <row r="85" spans="1:13" x14ac:dyDescent="0.2">
      <c r="A85" s="294" t="s">
        <v>13</v>
      </c>
      <c r="B85" s="233"/>
      <c r="C85" s="287"/>
      <c r="D85" s="166"/>
      <c r="E85" s="363"/>
      <c r="F85" s="279"/>
      <c r="G85" s="279"/>
      <c r="H85" s="166"/>
      <c r="I85" s="363"/>
      <c r="J85" s="288"/>
      <c r="K85" s="288"/>
      <c r="L85" s="166"/>
      <c r="M85" s="23"/>
    </row>
    <row r="86" spans="1:13" ht="15.75" x14ac:dyDescent="0.2">
      <c r="A86" s="21" t="s">
        <v>389</v>
      </c>
      <c r="B86" s="232"/>
      <c r="C86" s="145"/>
      <c r="D86" s="166"/>
      <c r="E86" s="27"/>
      <c r="F86" s="232">
        <v>4378.0628299999998</v>
      </c>
      <c r="G86" s="145">
        <v>4612.0370000000003</v>
      </c>
      <c r="H86" s="166">
        <f t="shared" si="15"/>
        <v>5.3</v>
      </c>
      <c r="I86" s="27">
        <f>IFERROR(100/'Skjema total MA'!F86*G86,0)</f>
        <v>68.512524045370753</v>
      </c>
      <c r="J86" s="285">
        <f t="shared" si="16"/>
        <v>4378.0628299999998</v>
      </c>
      <c r="K86" s="44">
        <f t="shared" si="16"/>
        <v>4612.0370000000003</v>
      </c>
      <c r="L86" s="252">
        <f t="shared" si="17"/>
        <v>5.3</v>
      </c>
      <c r="M86" s="27">
        <f>IFERROR(100/'Skjema total MA'!I86*K86,0)</f>
        <v>6.5329990688754886</v>
      </c>
    </row>
    <row r="87" spans="1:13" ht="15.75" x14ac:dyDescent="0.2">
      <c r="A87" s="13" t="s">
        <v>371</v>
      </c>
      <c r="B87" s="350">
        <v>13039031.93946</v>
      </c>
      <c r="C87" s="350">
        <v>14314595.96026</v>
      </c>
      <c r="D87" s="171">
        <f t="shared" si="14"/>
        <v>9.8000000000000007</v>
      </c>
      <c r="E87" s="11">
        <f>IFERROR(100/'Skjema total MA'!C87*C87,0)</f>
        <v>3.6714852934729776</v>
      </c>
      <c r="F87" s="349">
        <v>23538324.11262</v>
      </c>
      <c r="G87" s="349">
        <v>27336931.954099998</v>
      </c>
      <c r="H87" s="171">
        <f t="shared" si="15"/>
        <v>16.100000000000001</v>
      </c>
      <c r="I87" s="11">
        <f>IFERROR(100/'Skjema total MA'!F87*G87,0)</f>
        <v>9.6312984071860974</v>
      </c>
      <c r="J87" s="307">
        <f t="shared" ref="J87:K111" si="22">SUM(B87,F87)</f>
        <v>36577356.052079998</v>
      </c>
      <c r="K87" s="234">
        <f t="shared" si="22"/>
        <v>41651527.914360002</v>
      </c>
      <c r="L87" s="371">
        <f t="shared" si="17"/>
        <v>13.9</v>
      </c>
      <c r="M87" s="11">
        <f>IFERROR(100/'Skjema total MA'!I87*K87,0)</f>
        <v>6.1823199459633775</v>
      </c>
    </row>
    <row r="88" spans="1:13" x14ac:dyDescent="0.2">
      <c r="A88" s="21" t="s">
        <v>9</v>
      </c>
      <c r="B88" s="232">
        <v>10934785.468769999</v>
      </c>
      <c r="C88" s="145">
        <v>11345889.218909999</v>
      </c>
      <c r="D88" s="166">
        <f t="shared" si="14"/>
        <v>3.8</v>
      </c>
      <c r="E88" s="27">
        <f>IFERROR(100/'Skjema total MA'!C88*C88,0)</f>
        <v>2.9795138034394699</v>
      </c>
      <c r="F88" s="232"/>
      <c r="G88" s="145"/>
      <c r="H88" s="166"/>
      <c r="I88" s="27"/>
      <c r="J88" s="285">
        <f t="shared" si="22"/>
        <v>10934785.468769999</v>
      </c>
      <c r="K88" s="44">
        <f t="shared" si="22"/>
        <v>11345889.218909999</v>
      </c>
      <c r="L88" s="252">
        <f t="shared" si="17"/>
        <v>3.8</v>
      </c>
      <c r="M88" s="27">
        <f>IFERROR(100/'Skjema total MA'!I88*K88,0)</f>
        <v>2.9795138034394699</v>
      </c>
    </row>
    <row r="89" spans="1:13" x14ac:dyDescent="0.2">
      <c r="A89" s="21" t="s">
        <v>10</v>
      </c>
      <c r="B89" s="232">
        <v>1241190.0166</v>
      </c>
      <c r="C89" s="145">
        <v>1438683.30715</v>
      </c>
      <c r="D89" s="166">
        <f t="shared" si="14"/>
        <v>15.9</v>
      </c>
      <c r="E89" s="27">
        <f>IFERROR(100/'Skjema total MA'!C89*C89,0)</f>
        <v>49.232408894213293</v>
      </c>
      <c r="F89" s="232">
        <v>22973388.56989</v>
      </c>
      <c r="G89" s="145">
        <v>26538837.205499999</v>
      </c>
      <c r="H89" s="166">
        <f t="shared" si="15"/>
        <v>15.5</v>
      </c>
      <c r="I89" s="27">
        <f>IFERROR(100/'Skjema total MA'!F89*G89,0)</f>
        <v>9.3931634725243605</v>
      </c>
      <c r="J89" s="285">
        <f t="shared" si="22"/>
        <v>24214578.586490002</v>
      </c>
      <c r="K89" s="44">
        <f t="shared" si="22"/>
        <v>27977520.512649998</v>
      </c>
      <c r="L89" s="252">
        <f t="shared" si="17"/>
        <v>15.5</v>
      </c>
      <c r="M89" s="27">
        <f>IFERROR(100/'Skjema total MA'!I89*K89,0)</f>
        <v>9.8010002633230506</v>
      </c>
    </row>
    <row r="90" spans="1:13" ht="15.75" x14ac:dyDescent="0.2">
      <c r="A90" s="294" t="s">
        <v>386</v>
      </c>
      <c r="B90" s="279"/>
      <c r="C90" s="279"/>
      <c r="D90" s="166"/>
      <c r="E90" s="363"/>
      <c r="F90" s="279"/>
      <c r="G90" s="279"/>
      <c r="H90" s="166"/>
      <c r="I90" s="363"/>
      <c r="J90" s="288"/>
      <c r="K90" s="288"/>
      <c r="L90" s="166"/>
      <c r="M90" s="23"/>
    </row>
    <row r="91" spans="1:13" x14ac:dyDescent="0.2">
      <c r="A91" s="294" t="s">
        <v>12</v>
      </c>
      <c r="B91" s="233"/>
      <c r="C91" s="287"/>
      <c r="D91" s="166"/>
      <c r="E91" s="363"/>
      <c r="F91" s="279"/>
      <c r="G91" s="279"/>
      <c r="H91" s="166"/>
      <c r="I91" s="363"/>
      <c r="J91" s="288"/>
      <c r="K91" s="288"/>
      <c r="L91" s="166"/>
      <c r="M91" s="23"/>
    </row>
    <row r="92" spans="1:13" x14ac:dyDescent="0.2">
      <c r="A92" s="294" t="s">
        <v>13</v>
      </c>
      <c r="B92" s="233"/>
      <c r="C92" s="287"/>
      <c r="D92" s="166"/>
      <c r="E92" s="363"/>
      <c r="F92" s="279"/>
      <c r="G92" s="279"/>
      <c r="H92" s="166"/>
      <c r="I92" s="363"/>
      <c r="J92" s="288"/>
      <c r="K92" s="288"/>
      <c r="L92" s="166"/>
      <c r="M92" s="23"/>
    </row>
    <row r="93" spans="1:13" ht="15.75" x14ac:dyDescent="0.2">
      <c r="A93" s="294" t="s">
        <v>387</v>
      </c>
      <c r="B93" s="279"/>
      <c r="C93" s="279"/>
      <c r="D93" s="166"/>
      <c r="E93" s="363"/>
      <c r="F93" s="279"/>
      <c r="G93" s="279"/>
      <c r="H93" s="166"/>
      <c r="I93" s="363"/>
      <c r="J93" s="288"/>
      <c r="K93" s="288"/>
      <c r="L93" s="166"/>
      <c r="M93" s="23"/>
    </row>
    <row r="94" spans="1:13" x14ac:dyDescent="0.2">
      <c r="A94" s="294" t="s">
        <v>12</v>
      </c>
      <c r="B94" s="233"/>
      <c r="C94" s="287"/>
      <c r="D94" s="166"/>
      <c r="E94" s="363"/>
      <c r="F94" s="279"/>
      <c r="G94" s="279"/>
      <c r="H94" s="166"/>
      <c r="I94" s="363"/>
      <c r="J94" s="288"/>
      <c r="K94" s="288"/>
      <c r="L94" s="166"/>
      <c r="M94" s="23"/>
    </row>
    <row r="95" spans="1:13" x14ac:dyDescent="0.2">
      <c r="A95" s="294" t="s">
        <v>13</v>
      </c>
      <c r="B95" s="233"/>
      <c r="C95" s="287"/>
      <c r="D95" s="166"/>
      <c r="E95" s="363"/>
      <c r="F95" s="279"/>
      <c r="G95" s="279"/>
      <c r="H95" s="166"/>
      <c r="I95" s="363"/>
      <c r="J95" s="288"/>
      <c r="K95" s="288"/>
      <c r="L95" s="166"/>
      <c r="M95" s="23"/>
    </row>
    <row r="96" spans="1:13" x14ac:dyDescent="0.2">
      <c r="A96" s="21" t="s">
        <v>354</v>
      </c>
      <c r="B96" s="232">
        <v>524215.14649000001</v>
      </c>
      <c r="C96" s="145">
        <v>944653.81955000001</v>
      </c>
      <c r="D96" s="166">
        <f t="shared" si="14"/>
        <v>80.2</v>
      </c>
      <c r="E96" s="27">
        <f>IFERROR(100/'Skjema total MA'!C96*C96,0)</f>
        <v>84.299156453512111</v>
      </c>
      <c r="F96" s="232">
        <v>564935.54272999999</v>
      </c>
      <c r="G96" s="145">
        <v>798094.74860000005</v>
      </c>
      <c r="H96" s="166">
        <f t="shared" si="15"/>
        <v>41.3</v>
      </c>
      <c r="I96" s="27">
        <f>IFERROR(100/'Skjema total MA'!F96*G96,0)</f>
        <v>61.354264945206204</v>
      </c>
      <c r="J96" s="285">
        <f t="shared" si="22"/>
        <v>1089150.6892200001</v>
      </c>
      <c r="K96" s="44">
        <f t="shared" si="22"/>
        <v>1742748.5681500002</v>
      </c>
      <c r="L96" s="252">
        <f t="shared" si="17"/>
        <v>60</v>
      </c>
      <c r="M96" s="27">
        <f>IFERROR(100/'Skjema total MA'!I96*K96,0)</f>
        <v>71.972929742931456</v>
      </c>
    </row>
    <row r="97" spans="1:13" x14ac:dyDescent="0.2">
      <c r="A97" s="21" t="s">
        <v>353</v>
      </c>
      <c r="B97" s="232">
        <v>338841.3076</v>
      </c>
      <c r="C97" s="145">
        <v>585369.61465</v>
      </c>
      <c r="D97" s="166">
        <f t="shared" ref="D97" si="23">IF(B97=0, "    ---- ", IF(ABS(ROUND(100/B97*C97-100,1))&lt;999,ROUND(100/B97*C97-100,1),IF(ROUND(100/B97*C97-100,1)&gt;999,999,-999)))</f>
        <v>72.8</v>
      </c>
      <c r="E97" s="27">
        <f>IFERROR(100/'Skjema total MA'!C98*C97,0)</f>
        <v>0.15446107057305017</v>
      </c>
      <c r="F97" s="232"/>
      <c r="G97" s="145"/>
      <c r="H97" s="166"/>
      <c r="I97" s="27"/>
      <c r="J97" s="285">
        <f t="shared" ref="J97" si="24">SUM(B97,F97)</f>
        <v>338841.3076</v>
      </c>
      <c r="K97" s="44">
        <f t="shared" ref="K97" si="25">SUM(C97,G97)</f>
        <v>585369.61465</v>
      </c>
      <c r="L97" s="252">
        <f t="shared" ref="L97" si="26">IF(J97=0, "    ---- ", IF(ABS(ROUND(100/J97*K97-100,1))&lt;999,ROUND(100/J97*K97-100,1),IF(ROUND(100/J97*K97-100,1)&gt;999,999,-999)))</f>
        <v>72.8</v>
      </c>
      <c r="M97" s="27">
        <f>IFERROR(100/'Skjema total MA'!I98*K97,0)</f>
        <v>8.8594797337903541E-2</v>
      </c>
    </row>
    <row r="98" spans="1:13" ht="15.75" x14ac:dyDescent="0.2">
      <c r="A98" s="21" t="s">
        <v>388</v>
      </c>
      <c r="B98" s="232">
        <v>12175975.485369999</v>
      </c>
      <c r="C98" s="232">
        <v>12784572.52606</v>
      </c>
      <c r="D98" s="166">
        <f t="shared" si="14"/>
        <v>5</v>
      </c>
      <c r="E98" s="27">
        <f>IFERROR(100/'Skjema total MA'!C98*C98,0)</f>
        <v>3.3734562057423179</v>
      </c>
      <c r="F98" s="290">
        <v>22909279.589189999</v>
      </c>
      <c r="G98" s="290">
        <v>26467075.828219999</v>
      </c>
      <c r="H98" s="166">
        <f t="shared" si="15"/>
        <v>15.5</v>
      </c>
      <c r="I98" s="27">
        <f>IFERROR(100/'Skjema total MA'!F98*G98,0)</f>
        <v>9.3937706909233274</v>
      </c>
      <c r="J98" s="285">
        <f t="shared" si="22"/>
        <v>35085255.074560001</v>
      </c>
      <c r="K98" s="44">
        <f t="shared" si="22"/>
        <v>39251648.354279995</v>
      </c>
      <c r="L98" s="252">
        <f t="shared" si="17"/>
        <v>11.9</v>
      </c>
      <c r="M98" s="27">
        <f>IFERROR(100/'Skjema total MA'!I98*K98,0)</f>
        <v>5.9406770424961817</v>
      </c>
    </row>
    <row r="99" spans="1:13" x14ac:dyDescent="0.2">
      <c r="A99" s="21" t="s">
        <v>9</v>
      </c>
      <c r="B99" s="290">
        <v>10934785.468769999</v>
      </c>
      <c r="C99" s="291">
        <v>11345889.218909999</v>
      </c>
      <c r="D99" s="166">
        <f t="shared" si="14"/>
        <v>3.8</v>
      </c>
      <c r="E99" s="27">
        <f>IFERROR(100/'Skjema total MA'!C99*C99,0)</f>
        <v>3.0170962640681598</v>
      </c>
      <c r="F99" s="232"/>
      <c r="G99" s="145"/>
      <c r="H99" s="166"/>
      <c r="I99" s="27"/>
      <c r="J99" s="285">
        <f t="shared" si="22"/>
        <v>10934785.468769999</v>
      </c>
      <c r="K99" s="44">
        <f t="shared" si="22"/>
        <v>11345889.218909999</v>
      </c>
      <c r="L99" s="252">
        <f t="shared" si="17"/>
        <v>3.8</v>
      </c>
      <c r="M99" s="27">
        <f>IFERROR(100/'Skjema total MA'!I99*K99,0)</f>
        <v>3.0170962640681598</v>
      </c>
    </row>
    <row r="100" spans="1:13" x14ac:dyDescent="0.2">
      <c r="A100" s="21" t="s">
        <v>10</v>
      </c>
      <c r="B100" s="290">
        <v>1241190.0166</v>
      </c>
      <c r="C100" s="291">
        <v>1438683.30715</v>
      </c>
      <c r="D100" s="166">
        <f t="shared" si="14"/>
        <v>15.9</v>
      </c>
      <c r="E100" s="27">
        <f>IFERROR(100/'Skjema total MA'!C100*C100,0)</f>
        <v>49.232408894213293</v>
      </c>
      <c r="F100" s="232">
        <v>22909279.589189999</v>
      </c>
      <c r="G100" s="232">
        <v>26467075.828219999</v>
      </c>
      <c r="H100" s="166">
        <f t="shared" si="15"/>
        <v>15.5</v>
      </c>
      <c r="I100" s="27">
        <f>IFERROR(100/'Skjema total MA'!F100*G100,0)</f>
        <v>9.3937706909233274</v>
      </c>
      <c r="J100" s="285">
        <f t="shared" si="22"/>
        <v>24150469.60579</v>
      </c>
      <c r="K100" s="44">
        <f t="shared" si="22"/>
        <v>27905759.135369997</v>
      </c>
      <c r="L100" s="252">
        <f t="shared" si="17"/>
        <v>15.5</v>
      </c>
      <c r="M100" s="27">
        <f>IFERROR(100/'Skjema total MA'!I100*K100,0)</f>
        <v>9.8027218483103447</v>
      </c>
    </row>
    <row r="101" spans="1:13" ht="15.75" x14ac:dyDescent="0.2">
      <c r="A101" s="294" t="s">
        <v>386</v>
      </c>
      <c r="B101" s="279"/>
      <c r="C101" s="279"/>
      <c r="D101" s="166"/>
      <c r="E101" s="363"/>
      <c r="F101" s="279"/>
      <c r="G101" s="279"/>
      <c r="H101" s="166"/>
      <c r="I101" s="363"/>
      <c r="J101" s="288"/>
      <c r="K101" s="288"/>
      <c r="L101" s="166"/>
      <c r="M101" s="23"/>
    </row>
    <row r="102" spans="1:13" x14ac:dyDescent="0.2">
      <c r="A102" s="294" t="s">
        <v>12</v>
      </c>
      <c r="B102" s="233"/>
      <c r="C102" s="287"/>
      <c r="D102" s="166"/>
      <c r="E102" s="363"/>
      <c r="F102" s="279"/>
      <c r="G102" s="279"/>
      <c r="H102" s="166"/>
      <c r="I102" s="363"/>
      <c r="J102" s="288"/>
      <c r="K102" s="288"/>
      <c r="L102" s="166"/>
      <c r="M102" s="23"/>
    </row>
    <row r="103" spans="1:13" x14ac:dyDescent="0.2">
      <c r="A103" s="294" t="s">
        <v>13</v>
      </c>
      <c r="B103" s="233"/>
      <c r="C103" s="287"/>
      <c r="D103" s="166"/>
      <c r="E103" s="363"/>
      <c r="F103" s="279"/>
      <c r="G103" s="279"/>
      <c r="H103" s="166"/>
      <c r="I103" s="363"/>
      <c r="J103" s="288"/>
      <c r="K103" s="288"/>
      <c r="L103" s="166"/>
      <c r="M103" s="23"/>
    </row>
    <row r="104" spans="1:13" ht="15.75" x14ac:dyDescent="0.2">
      <c r="A104" s="294" t="s">
        <v>387</v>
      </c>
      <c r="B104" s="279"/>
      <c r="C104" s="279"/>
      <c r="D104" s="166"/>
      <c r="E104" s="363"/>
      <c r="F104" s="279"/>
      <c r="G104" s="279"/>
      <c r="H104" s="166"/>
      <c r="I104" s="363"/>
      <c r="J104" s="288"/>
      <c r="K104" s="288"/>
      <c r="L104" s="166"/>
      <c r="M104" s="23"/>
    </row>
    <row r="105" spans="1:13" x14ac:dyDescent="0.2">
      <c r="A105" s="294" t="s">
        <v>12</v>
      </c>
      <c r="B105" s="233"/>
      <c r="C105" s="287"/>
      <c r="D105" s="166"/>
      <c r="E105" s="363"/>
      <c r="F105" s="279"/>
      <c r="G105" s="279"/>
      <c r="H105" s="166"/>
      <c r="I105" s="363"/>
      <c r="J105" s="288"/>
      <c r="K105" s="288"/>
      <c r="L105" s="166"/>
      <c r="M105" s="23"/>
    </row>
    <row r="106" spans="1:13" x14ac:dyDescent="0.2">
      <c r="A106" s="294" t="s">
        <v>13</v>
      </c>
      <c r="B106" s="233"/>
      <c r="C106" s="287"/>
      <c r="D106" s="166"/>
      <c r="E106" s="363"/>
      <c r="F106" s="279"/>
      <c r="G106" s="279"/>
      <c r="H106" s="166"/>
      <c r="I106" s="363"/>
      <c r="J106" s="288"/>
      <c r="K106" s="288"/>
      <c r="L106" s="166"/>
      <c r="M106" s="23"/>
    </row>
    <row r="107" spans="1:13" ht="15.75" x14ac:dyDescent="0.2">
      <c r="A107" s="21" t="s">
        <v>389</v>
      </c>
      <c r="B107" s="232"/>
      <c r="C107" s="145"/>
      <c r="D107" s="166"/>
      <c r="E107" s="27"/>
      <c r="F107" s="232">
        <v>64108.980700000102</v>
      </c>
      <c r="G107" s="145">
        <v>71761.377280000001</v>
      </c>
      <c r="H107" s="166">
        <f t="shared" si="15"/>
        <v>11.9</v>
      </c>
      <c r="I107" s="27">
        <f>IFERROR(100/'Skjema total MA'!F107*G107,0)</f>
        <v>9.1744378667667092</v>
      </c>
      <c r="J107" s="285">
        <f t="shared" si="22"/>
        <v>64108.980700000102</v>
      </c>
      <c r="K107" s="44">
        <f t="shared" si="22"/>
        <v>71761.377280000001</v>
      </c>
      <c r="L107" s="252">
        <f t="shared" si="17"/>
        <v>11.9</v>
      </c>
      <c r="M107" s="27">
        <f>IFERROR(100/'Skjema total MA'!I107*K107,0)</f>
        <v>1.2987116643439283</v>
      </c>
    </row>
    <row r="108" spans="1:13" ht="15.75" x14ac:dyDescent="0.2">
      <c r="A108" s="21" t="s">
        <v>390</v>
      </c>
      <c r="B108" s="232">
        <v>7812618.8333000001</v>
      </c>
      <c r="C108" s="232">
        <v>8192354.3899499997</v>
      </c>
      <c r="D108" s="166">
        <f t="shared" si="14"/>
        <v>4.9000000000000004</v>
      </c>
      <c r="E108" s="27">
        <f>IFERROR(100/'Skjema total MA'!C108*C108,0)</f>
        <v>2.5969140830830391</v>
      </c>
      <c r="F108" s="232"/>
      <c r="G108" s="232"/>
      <c r="H108" s="166"/>
      <c r="I108" s="27"/>
      <c r="J108" s="285">
        <f t="shared" si="22"/>
        <v>7812618.8333000001</v>
      </c>
      <c r="K108" s="44">
        <f t="shared" si="22"/>
        <v>8192354.3899499997</v>
      </c>
      <c r="L108" s="252">
        <f t="shared" si="17"/>
        <v>4.9000000000000004</v>
      </c>
      <c r="M108" s="27">
        <f>IFERROR(100/'Skjema total MA'!I108*K108,0)</f>
        <v>2.4697245585719543</v>
      </c>
    </row>
    <row r="109" spans="1:13" ht="15.75" x14ac:dyDescent="0.2">
      <c r="A109" s="21" t="s">
        <v>391</v>
      </c>
      <c r="B109" s="232">
        <v>308613.79995999997</v>
      </c>
      <c r="C109" s="232">
        <v>339174.16642000002</v>
      </c>
      <c r="D109" s="166">
        <f t="shared" si="14"/>
        <v>9.9</v>
      </c>
      <c r="E109" s="27">
        <f>IFERROR(100/'Skjema total MA'!C109*C109,0)</f>
        <v>33.705941916618237</v>
      </c>
      <c r="F109" s="232">
        <v>7145289.4649200002</v>
      </c>
      <c r="G109" s="232">
        <v>8568005.4981399998</v>
      </c>
      <c r="H109" s="166">
        <f t="shared" si="15"/>
        <v>19.899999999999999</v>
      </c>
      <c r="I109" s="27">
        <f>IFERROR(100/'Skjema total MA'!F109*G109,0)</f>
        <v>8.9581244220353806</v>
      </c>
      <c r="J109" s="285">
        <f t="shared" si="22"/>
        <v>7453903.2648799997</v>
      </c>
      <c r="K109" s="44">
        <f t="shared" si="22"/>
        <v>8907179.6645599995</v>
      </c>
      <c r="L109" s="252">
        <f t="shared" si="17"/>
        <v>19.5</v>
      </c>
      <c r="M109" s="27">
        <f>IFERROR(100/'Skjema total MA'!I109*K109,0)</f>
        <v>9.2157833814142478</v>
      </c>
    </row>
    <row r="110" spans="1:13" ht="15.75" x14ac:dyDescent="0.2">
      <c r="A110" s="21" t="s">
        <v>392</v>
      </c>
      <c r="B110" s="232">
        <v>50585.705860000002</v>
      </c>
      <c r="C110" s="232">
        <v>138939.31789999999</v>
      </c>
      <c r="D110" s="166">
        <f t="shared" si="14"/>
        <v>174.7</v>
      </c>
      <c r="E110" s="27">
        <f>IFERROR(100/'Skjema total MA'!C110*C110,0)</f>
        <v>67.747961079530754</v>
      </c>
      <c r="F110" s="232"/>
      <c r="G110" s="232"/>
      <c r="H110" s="166"/>
      <c r="I110" s="27"/>
      <c r="J110" s="285">
        <f t="shared" si="22"/>
        <v>50585.705860000002</v>
      </c>
      <c r="K110" s="44">
        <f t="shared" si="22"/>
        <v>138939.31789999999</v>
      </c>
      <c r="L110" s="252">
        <f t="shared" si="17"/>
        <v>174.7</v>
      </c>
      <c r="M110" s="27">
        <f>IFERROR(100/'Skjema total MA'!I110*K110,0)</f>
        <v>67.747961079530754</v>
      </c>
    </row>
    <row r="111" spans="1:13" ht="15.75" x14ac:dyDescent="0.2">
      <c r="A111" s="13" t="s">
        <v>372</v>
      </c>
      <c r="B111" s="306">
        <v>30082.015460000002</v>
      </c>
      <c r="C111" s="159">
        <v>13919.913090000002</v>
      </c>
      <c r="D111" s="171">
        <f t="shared" si="14"/>
        <v>-53.7</v>
      </c>
      <c r="E111" s="11">
        <f>IFERROR(100/'Skjema total MA'!C111*C111,0)</f>
        <v>5.2814603944005594</v>
      </c>
      <c r="F111" s="306">
        <v>1593342.4205400001</v>
      </c>
      <c r="G111" s="159">
        <v>802952.63517999998</v>
      </c>
      <c r="H111" s="171">
        <f t="shared" si="15"/>
        <v>-49.6</v>
      </c>
      <c r="I111" s="11">
        <f>IFERROR(100/'Skjema total MA'!F111*G111,0)</f>
        <v>9.8402978222311539</v>
      </c>
      <c r="J111" s="307">
        <f t="shared" si="22"/>
        <v>1623424.436</v>
      </c>
      <c r="K111" s="234">
        <f t="shared" si="22"/>
        <v>816872.54827000003</v>
      </c>
      <c r="L111" s="371">
        <f t="shared" si="17"/>
        <v>-49.7</v>
      </c>
      <c r="M111" s="11">
        <f>IFERROR(100/'Skjema total MA'!I111*K111,0)</f>
        <v>9.6976552890744365</v>
      </c>
    </row>
    <row r="112" spans="1:13" x14ac:dyDescent="0.2">
      <c r="A112" s="21" t="s">
        <v>9</v>
      </c>
      <c r="B112" s="232">
        <v>23404.66851</v>
      </c>
      <c r="C112" s="145">
        <v>2110.5707400000001</v>
      </c>
      <c r="D112" s="166">
        <f t="shared" ref="D112:D125" si="27">IF(B112=0, "    ---- ", IF(ABS(ROUND(100/B112*C112-100,1))&lt;999,ROUND(100/B112*C112-100,1),IF(ROUND(100/B112*C112-100,1)&gt;999,999,-999)))</f>
        <v>-91</v>
      </c>
      <c r="E112" s="27">
        <f>IFERROR(100/'Skjema total MA'!C112*C112,0)</f>
        <v>1.0014739240465653</v>
      </c>
      <c r="F112" s="232"/>
      <c r="G112" s="145"/>
      <c r="H112" s="166"/>
      <c r="I112" s="27"/>
      <c r="J112" s="285">
        <f t="shared" ref="J112:K125" si="28">SUM(B112,F112)</f>
        <v>23404.66851</v>
      </c>
      <c r="K112" s="44">
        <f t="shared" si="28"/>
        <v>2110.5707400000001</v>
      </c>
      <c r="L112" s="252">
        <f t="shared" ref="L112:L125" si="29">IF(J112=0, "    ---- ", IF(ABS(ROUND(100/J112*K112-100,1))&lt;999,ROUND(100/J112*K112-100,1),IF(ROUND(100/J112*K112-100,1)&gt;999,999,-999)))</f>
        <v>-91</v>
      </c>
      <c r="M112" s="27">
        <f>IFERROR(100/'Skjema total MA'!I112*K112,0)</f>
        <v>0.97704886716604933</v>
      </c>
    </row>
    <row r="113" spans="1:14" x14ac:dyDescent="0.2">
      <c r="A113" s="21" t="s">
        <v>10</v>
      </c>
      <c r="B113" s="232">
        <v>1519.0670500000001</v>
      </c>
      <c r="C113" s="145">
        <v>345.58834999999999</v>
      </c>
      <c r="D113" s="166">
        <f t="shared" si="27"/>
        <v>-77.2</v>
      </c>
      <c r="E113" s="27">
        <f>IFERROR(100/'Skjema total MA'!C113*C113,0)</f>
        <v>34.74687291480943</v>
      </c>
      <c r="F113" s="232">
        <v>1593342.4205400001</v>
      </c>
      <c r="G113" s="145">
        <v>775928.17691000004</v>
      </c>
      <c r="H113" s="166">
        <f t="shared" ref="H113:H125" si="30">IF(F113=0, "    ---- ", IF(ABS(ROUND(100/F113*G113-100,1))&lt;999,ROUND(100/F113*G113-100,1),IF(ROUND(100/F113*G113-100,1)&gt;999,999,-999)))</f>
        <v>-51.3</v>
      </c>
      <c r="I113" s="27">
        <f>IFERROR(100/'Skjema total MA'!F113*G113,0)</f>
        <v>9.5468914455755058</v>
      </c>
      <c r="J113" s="285">
        <f t="shared" si="28"/>
        <v>1594861.48759</v>
      </c>
      <c r="K113" s="44">
        <f t="shared" si="28"/>
        <v>776273.76526000001</v>
      </c>
      <c r="L113" s="252">
        <f t="shared" si="29"/>
        <v>-51.3</v>
      </c>
      <c r="M113" s="27">
        <f>IFERROR(100/'Skjema total MA'!I113*K113,0)</f>
        <v>9.5499748529600659</v>
      </c>
    </row>
    <row r="114" spans="1:14" x14ac:dyDescent="0.2">
      <c r="A114" s="21" t="s">
        <v>26</v>
      </c>
      <c r="B114" s="232">
        <v>5158.2799000000005</v>
      </c>
      <c r="C114" s="145">
        <v>11463.754000000001</v>
      </c>
      <c r="D114" s="166">
        <f t="shared" si="27"/>
        <v>122.2</v>
      </c>
      <c r="E114" s="27">
        <f>IFERROR(100/'Skjema total MA'!C114*C114,0)</f>
        <v>22.12192440712154</v>
      </c>
      <c r="F114" s="232">
        <v>0</v>
      </c>
      <c r="G114" s="145">
        <v>27024.458269999999</v>
      </c>
      <c r="H114" s="166" t="str">
        <f t="shared" si="30"/>
        <v xml:space="preserve">    ---- </v>
      </c>
      <c r="I114" s="27">
        <f>IFERROR(100/'Skjema total MA'!F114*G114,0)</f>
        <v>100</v>
      </c>
      <c r="J114" s="285">
        <f t="shared" si="28"/>
        <v>5158.2799000000005</v>
      </c>
      <c r="K114" s="44">
        <f t="shared" si="28"/>
        <v>38488.212270000004</v>
      </c>
      <c r="L114" s="252">
        <f t="shared" si="29"/>
        <v>646.1</v>
      </c>
      <c r="M114" s="27">
        <f>IFERROR(100/'Skjema total MA'!I114*K114,0)</f>
        <v>48.814884229344287</v>
      </c>
    </row>
    <row r="115" spans="1:14" x14ac:dyDescent="0.2">
      <c r="A115" s="294" t="s">
        <v>15</v>
      </c>
      <c r="B115" s="279" t="s">
        <v>415</v>
      </c>
      <c r="C115" s="279" t="s">
        <v>415</v>
      </c>
      <c r="D115" s="166"/>
      <c r="E115" s="363"/>
      <c r="F115" s="279"/>
      <c r="G115" s="279"/>
      <c r="H115" s="166"/>
      <c r="I115" s="363"/>
      <c r="J115" s="288"/>
      <c r="K115" s="288"/>
      <c r="L115" s="166"/>
      <c r="M115" s="23"/>
    </row>
    <row r="116" spans="1:14" ht="15.75" x14ac:dyDescent="0.2">
      <c r="A116" s="21" t="s">
        <v>393</v>
      </c>
      <c r="B116" s="232">
        <v>25000.336650000001</v>
      </c>
      <c r="C116" s="232">
        <v>2110.6311300000002</v>
      </c>
      <c r="D116" s="166">
        <f t="shared" si="27"/>
        <v>-91.6</v>
      </c>
      <c r="E116" s="27">
        <f>IFERROR(100/'Skjema total MA'!C116*C116,0)</f>
        <v>2.9580323467342788</v>
      </c>
      <c r="F116" s="232"/>
      <c r="G116" s="232"/>
      <c r="H116" s="166"/>
      <c r="I116" s="27"/>
      <c r="J116" s="285">
        <f t="shared" si="28"/>
        <v>25000.336650000001</v>
      </c>
      <c r="K116" s="44">
        <f t="shared" si="28"/>
        <v>2110.6311300000002</v>
      </c>
      <c r="L116" s="252">
        <f t="shared" si="29"/>
        <v>-91.6</v>
      </c>
      <c r="M116" s="27">
        <f>IFERROR(100/'Skjema total MA'!I116*K116,0)</f>
        <v>2.7546398311177893</v>
      </c>
    </row>
    <row r="117" spans="1:14" ht="15.75" x14ac:dyDescent="0.2">
      <c r="A117" s="21" t="s">
        <v>394</v>
      </c>
      <c r="B117" s="232"/>
      <c r="C117" s="232"/>
      <c r="D117" s="166"/>
      <c r="E117" s="27"/>
      <c r="F117" s="232">
        <v>180079.87504000001</v>
      </c>
      <c r="G117" s="232">
        <v>176619.70348</v>
      </c>
      <c r="H117" s="166">
        <f t="shared" si="30"/>
        <v>-1.9</v>
      </c>
      <c r="I117" s="27">
        <f>IFERROR(100/'Skjema total MA'!F117*G117,0)</f>
        <v>10.925195730839732</v>
      </c>
      <c r="J117" s="285">
        <f t="shared" si="28"/>
        <v>180079.87504000001</v>
      </c>
      <c r="K117" s="44">
        <f t="shared" si="28"/>
        <v>176619.70348</v>
      </c>
      <c r="L117" s="252">
        <f t="shared" si="29"/>
        <v>-1.9</v>
      </c>
      <c r="M117" s="27">
        <f>IFERROR(100/'Skjema total MA'!I117*K117,0)</f>
        <v>10.925195730839732</v>
      </c>
    </row>
    <row r="118" spans="1:14" ht="15.75" x14ac:dyDescent="0.2">
      <c r="A118" s="21" t="s">
        <v>392</v>
      </c>
      <c r="B118" s="232"/>
      <c r="C118" s="232"/>
      <c r="D118" s="166"/>
      <c r="E118" s="27"/>
      <c r="F118" s="232"/>
      <c r="G118" s="232"/>
      <c r="H118" s="166"/>
      <c r="I118" s="27"/>
      <c r="J118" s="285"/>
      <c r="K118" s="44"/>
      <c r="L118" s="252"/>
      <c r="M118" s="27"/>
    </row>
    <row r="119" spans="1:14" ht="15.75" x14ac:dyDescent="0.2">
      <c r="A119" s="13" t="s">
        <v>373</v>
      </c>
      <c r="B119" s="306">
        <v>54542.301800000001</v>
      </c>
      <c r="C119" s="159">
        <v>27105.177339999998</v>
      </c>
      <c r="D119" s="171">
        <f t="shared" si="27"/>
        <v>-50.3</v>
      </c>
      <c r="E119" s="11">
        <f>IFERROR(100/'Skjema total MA'!C119*C119,0)</f>
        <v>9.6828813123102453</v>
      </c>
      <c r="F119" s="306">
        <v>328055.55913000001</v>
      </c>
      <c r="G119" s="159">
        <v>536275.12487000006</v>
      </c>
      <c r="H119" s="171">
        <f t="shared" si="30"/>
        <v>63.5</v>
      </c>
      <c r="I119" s="11">
        <f>IFERROR(100/'Skjema total MA'!F119*G119,0)</f>
        <v>6.6222990921751768</v>
      </c>
      <c r="J119" s="307">
        <f t="shared" si="28"/>
        <v>382597.86093000002</v>
      </c>
      <c r="K119" s="234">
        <f t="shared" si="28"/>
        <v>563380.30221000011</v>
      </c>
      <c r="L119" s="371">
        <f t="shared" si="29"/>
        <v>47.3</v>
      </c>
      <c r="M119" s="11">
        <f>IFERROR(100/'Skjema total MA'!I119*K119,0)</f>
        <v>6.7245610200429269</v>
      </c>
    </row>
    <row r="120" spans="1:14" x14ac:dyDescent="0.2">
      <c r="A120" s="21" t="s">
        <v>9</v>
      </c>
      <c r="B120" s="232">
        <v>41074.180999999997</v>
      </c>
      <c r="C120" s="145">
        <v>192.07879</v>
      </c>
      <c r="D120" s="166">
        <f t="shared" si="27"/>
        <v>-99.5</v>
      </c>
      <c r="E120" s="27">
        <f>IFERROR(100/'Skjema total MA'!C120*C120,0)</f>
        <v>0.12979710577794512</v>
      </c>
      <c r="F120" s="232"/>
      <c r="G120" s="145"/>
      <c r="H120" s="166"/>
      <c r="I120" s="27"/>
      <c r="J120" s="285">
        <f t="shared" si="28"/>
        <v>41074.180999999997</v>
      </c>
      <c r="K120" s="44">
        <f t="shared" si="28"/>
        <v>192.07879</v>
      </c>
      <c r="L120" s="252">
        <f t="shared" si="29"/>
        <v>-99.5</v>
      </c>
      <c r="M120" s="27">
        <f>IFERROR(100/'Skjema total MA'!I120*K120,0)</f>
        <v>0.12979710577794512</v>
      </c>
    </row>
    <row r="121" spans="1:14" x14ac:dyDescent="0.2">
      <c r="A121" s="21" t="s">
        <v>10</v>
      </c>
      <c r="B121" s="232">
        <v>10424.63292</v>
      </c>
      <c r="C121" s="145">
        <v>20817.859639999999</v>
      </c>
      <c r="D121" s="166">
        <f t="shared" si="27"/>
        <v>99.7</v>
      </c>
      <c r="E121" s="27">
        <f>IFERROR(100/'Skjema total MA'!C121*C121,0)</f>
        <v>96.845904228280503</v>
      </c>
      <c r="F121" s="232">
        <v>328055.55913000001</v>
      </c>
      <c r="G121" s="145">
        <v>536275.12487000006</v>
      </c>
      <c r="H121" s="166">
        <f t="shared" si="30"/>
        <v>63.5</v>
      </c>
      <c r="I121" s="27">
        <f>IFERROR(100/'Skjema total MA'!F121*G121,0)</f>
        <v>6.6222990921751768</v>
      </c>
      <c r="J121" s="285">
        <f t="shared" si="28"/>
        <v>338480.19205000001</v>
      </c>
      <c r="K121" s="44">
        <f t="shared" si="28"/>
        <v>557092.9845100001</v>
      </c>
      <c r="L121" s="252">
        <f t="shared" si="29"/>
        <v>64.599999999999994</v>
      </c>
      <c r="M121" s="27">
        <f>IFERROR(100/'Skjema total MA'!I121*K121,0)</f>
        <v>6.8611598708073256</v>
      </c>
    </row>
    <row r="122" spans="1:14" x14ac:dyDescent="0.2">
      <c r="A122" s="21" t="s">
        <v>26</v>
      </c>
      <c r="B122" s="232">
        <v>3043.4878800000001</v>
      </c>
      <c r="C122" s="145">
        <v>6095.23891</v>
      </c>
      <c r="D122" s="166">
        <f t="shared" si="27"/>
        <v>100.3</v>
      </c>
      <c r="E122" s="27">
        <f>IFERROR(100/'Skjema total MA'!C122*C122,0)</f>
        <v>5.5185952166281833</v>
      </c>
      <c r="F122" s="232"/>
      <c r="G122" s="145"/>
      <c r="H122" s="166"/>
      <c r="I122" s="27"/>
      <c r="J122" s="285">
        <f t="shared" si="28"/>
        <v>3043.4878800000001</v>
      </c>
      <c r="K122" s="44">
        <f t="shared" si="28"/>
        <v>6095.23891</v>
      </c>
      <c r="L122" s="252">
        <f t="shared" si="29"/>
        <v>100.3</v>
      </c>
      <c r="M122" s="27">
        <f>IFERROR(100/'Skjema total MA'!I122*K122,0)</f>
        <v>5.5185952166281833</v>
      </c>
    </row>
    <row r="123" spans="1:14" x14ac:dyDescent="0.2">
      <c r="A123" s="294" t="s">
        <v>14</v>
      </c>
      <c r="B123" s="279"/>
      <c r="C123" s="279"/>
      <c r="D123" s="166"/>
      <c r="E123" s="363"/>
      <c r="F123" s="279"/>
      <c r="G123" s="279"/>
      <c r="H123" s="166"/>
      <c r="I123" s="363"/>
      <c r="J123" s="288"/>
      <c r="K123" s="288"/>
      <c r="L123" s="166"/>
      <c r="M123" s="23"/>
    </row>
    <row r="124" spans="1:14" ht="15.75" x14ac:dyDescent="0.2">
      <c r="A124" s="21" t="s">
        <v>399</v>
      </c>
      <c r="B124" s="232">
        <v>0</v>
      </c>
      <c r="C124" s="232">
        <v>115.97561</v>
      </c>
      <c r="D124" s="166" t="str">
        <f t="shared" si="27"/>
        <v xml:space="preserve">    ---- </v>
      </c>
      <c r="E124" s="27">
        <f>IFERROR(100/'Skjema total MA'!C124*C124,0)</f>
        <v>0.31129382321971516</v>
      </c>
      <c r="F124" s="232"/>
      <c r="G124" s="232"/>
      <c r="H124" s="166"/>
      <c r="I124" s="27"/>
      <c r="J124" s="285">
        <f t="shared" si="28"/>
        <v>0</v>
      </c>
      <c r="K124" s="44">
        <f t="shared" si="28"/>
        <v>115.97561</v>
      </c>
      <c r="L124" s="252" t="str">
        <f t="shared" si="29"/>
        <v xml:space="preserve">    ---- </v>
      </c>
      <c r="M124" s="27">
        <f>IFERROR(100/'Skjema total MA'!I124*K124,0)</f>
        <v>0.2236009558484067</v>
      </c>
    </row>
    <row r="125" spans="1:14" ht="15.75" x14ac:dyDescent="0.2">
      <c r="A125" s="21" t="s">
        <v>391</v>
      </c>
      <c r="B125" s="232">
        <v>1576.01304</v>
      </c>
      <c r="C125" s="232">
        <v>2269.76784</v>
      </c>
      <c r="D125" s="166">
        <f t="shared" si="27"/>
        <v>44</v>
      </c>
      <c r="E125" s="27">
        <f>IFERROR(100/'Skjema total MA'!C125*C125,0)</f>
        <v>99.775284834384919</v>
      </c>
      <c r="F125" s="232">
        <v>103727.34873</v>
      </c>
      <c r="G125" s="232">
        <v>138959.94007000001</v>
      </c>
      <c r="H125" s="166">
        <f t="shared" si="30"/>
        <v>34</v>
      </c>
      <c r="I125" s="27">
        <f>IFERROR(100/'Skjema total MA'!F125*G125,0)</f>
        <v>8.2249318238976592</v>
      </c>
      <c r="J125" s="285">
        <f t="shared" si="28"/>
        <v>105303.36177</v>
      </c>
      <c r="K125" s="44">
        <f t="shared" si="28"/>
        <v>141229.70791</v>
      </c>
      <c r="L125" s="252">
        <f t="shared" si="29"/>
        <v>34.1</v>
      </c>
      <c r="M125" s="27">
        <f>IFERROR(100/'Skjema total MA'!I125*K125,0)</f>
        <v>8.348037136908065</v>
      </c>
    </row>
    <row r="126" spans="1:14" ht="15.75" x14ac:dyDescent="0.2">
      <c r="A126" s="10" t="s">
        <v>392</v>
      </c>
      <c r="B126" s="45"/>
      <c r="C126" s="45"/>
      <c r="D126" s="167"/>
      <c r="E126" s="364"/>
      <c r="F126" s="45"/>
      <c r="G126" s="45"/>
      <c r="H126" s="167"/>
      <c r="I126" s="22"/>
      <c r="J126" s="286"/>
      <c r="K126" s="45"/>
      <c r="L126" s="253"/>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95"/>
      <c r="C130" s="695"/>
      <c r="D130" s="695"/>
      <c r="E130" s="297"/>
      <c r="F130" s="695"/>
      <c r="G130" s="695"/>
      <c r="H130" s="695"/>
      <c r="I130" s="297"/>
      <c r="J130" s="695"/>
      <c r="K130" s="695"/>
      <c r="L130" s="695"/>
      <c r="M130" s="297"/>
    </row>
    <row r="131" spans="1:14" s="3" customFormat="1" x14ac:dyDescent="0.2">
      <c r="A131" s="144"/>
      <c r="B131" s="696" t="s">
        <v>0</v>
      </c>
      <c r="C131" s="697"/>
      <c r="D131" s="697"/>
      <c r="E131" s="299"/>
      <c r="F131" s="696" t="s">
        <v>1</v>
      </c>
      <c r="G131" s="697"/>
      <c r="H131" s="697"/>
      <c r="I131" s="302"/>
      <c r="J131" s="696" t="s">
        <v>2</v>
      </c>
      <c r="K131" s="697"/>
      <c r="L131" s="697"/>
      <c r="M131" s="302"/>
      <c r="N131" s="148"/>
    </row>
    <row r="132" spans="1:14" s="3" customFormat="1" x14ac:dyDescent="0.2">
      <c r="A132" s="140"/>
      <c r="B132" s="152" t="s">
        <v>422</v>
      </c>
      <c r="C132" s="152" t="s">
        <v>423</v>
      </c>
      <c r="D132" s="243" t="s">
        <v>3</v>
      </c>
      <c r="E132" s="303" t="s">
        <v>29</v>
      </c>
      <c r="F132" s="152" t="s">
        <v>422</v>
      </c>
      <c r="G132" s="152" t="s">
        <v>423</v>
      </c>
      <c r="H132" s="205" t="s">
        <v>3</v>
      </c>
      <c r="I132" s="162" t="s">
        <v>29</v>
      </c>
      <c r="J132" s="152" t="s">
        <v>422</v>
      </c>
      <c r="K132" s="152" t="s">
        <v>423</v>
      </c>
      <c r="L132" s="244" t="s">
        <v>3</v>
      </c>
      <c r="M132" s="162" t="s">
        <v>29</v>
      </c>
      <c r="N132" s="148"/>
    </row>
    <row r="133" spans="1:14" s="3" customFormat="1" x14ac:dyDescent="0.2">
      <c r="A133" s="666"/>
      <c r="B133" s="156"/>
      <c r="C133" s="156"/>
      <c r="D133" s="244" t="s">
        <v>4</v>
      </c>
      <c r="E133" s="156" t="s">
        <v>30</v>
      </c>
      <c r="F133" s="161"/>
      <c r="G133" s="161"/>
      <c r="H133" s="205" t="s">
        <v>4</v>
      </c>
      <c r="I133" s="156" t="s">
        <v>30</v>
      </c>
      <c r="J133" s="156"/>
      <c r="K133" s="156"/>
      <c r="L133" s="150" t="s">
        <v>4</v>
      </c>
      <c r="M133" s="156" t="s">
        <v>30</v>
      </c>
      <c r="N133" s="148"/>
    </row>
    <row r="134" spans="1:14" s="3" customFormat="1" ht="15.75" x14ac:dyDescent="0.2">
      <c r="A134" s="14" t="s">
        <v>395</v>
      </c>
      <c r="B134" s="234"/>
      <c r="C134" s="307"/>
      <c r="D134" s="347"/>
      <c r="E134" s="11"/>
      <c r="F134" s="314"/>
      <c r="G134" s="315"/>
      <c r="H134" s="374"/>
      <c r="I134" s="24"/>
      <c r="J134" s="316"/>
      <c r="K134" s="316"/>
      <c r="L134" s="370"/>
      <c r="M134" s="11"/>
      <c r="N134" s="148"/>
    </row>
    <row r="135" spans="1:14" s="3" customFormat="1" ht="15.75" x14ac:dyDescent="0.2">
      <c r="A135" s="13" t="s">
        <v>400</v>
      </c>
      <c r="B135" s="234"/>
      <c r="C135" s="307"/>
      <c r="D135" s="171"/>
      <c r="E135" s="11"/>
      <c r="F135" s="234"/>
      <c r="G135" s="307"/>
      <c r="H135" s="375"/>
      <c r="I135" s="24"/>
      <c r="J135" s="306"/>
      <c r="K135" s="306"/>
      <c r="L135" s="371"/>
      <c r="M135" s="11"/>
      <c r="N135" s="148"/>
    </row>
    <row r="136" spans="1:14" s="3" customFormat="1" ht="15.75" x14ac:dyDescent="0.2">
      <c r="A136" s="13" t="s">
        <v>397</v>
      </c>
      <c r="B136" s="234"/>
      <c r="C136" s="307"/>
      <c r="D136" s="171"/>
      <c r="E136" s="11"/>
      <c r="F136" s="234"/>
      <c r="G136" s="307"/>
      <c r="H136" s="375"/>
      <c r="I136" s="24"/>
      <c r="J136" s="306"/>
      <c r="K136" s="306"/>
      <c r="L136" s="371"/>
      <c r="M136" s="11"/>
      <c r="N136" s="148"/>
    </row>
    <row r="137" spans="1:14" s="3" customFormat="1" ht="15.75" x14ac:dyDescent="0.2">
      <c r="A137" s="41" t="s">
        <v>398</v>
      </c>
      <c r="B137" s="274"/>
      <c r="C137" s="313"/>
      <c r="D137" s="169"/>
      <c r="E137" s="9"/>
      <c r="F137" s="274"/>
      <c r="G137" s="313"/>
      <c r="H137" s="376"/>
      <c r="I137" s="36"/>
      <c r="J137" s="312"/>
      <c r="K137" s="312"/>
      <c r="L137" s="372"/>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455" priority="132">
      <formula>kvartal &lt; 4</formula>
    </cfRule>
  </conditionalFormatting>
  <conditionalFormatting sqref="B69">
    <cfRule type="expression" dxfId="454" priority="100">
      <formula>kvartal &lt; 4</formula>
    </cfRule>
  </conditionalFormatting>
  <conditionalFormatting sqref="C69">
    <cfRule type="expression" dxfId="453" priority="99">
      <formula>kvartal &lt; 4</formula>
    </cfRule>
  </conditionalFormatting>
  <conditionalFormatting sqref="B72">
    <cfRule type="expression" dxfId="452" priority="98">
      <formula>kvartal &lt; 4</formula>
    </cfRule>
  </conditionalFormatting>
  <conditionalFormatting sqref="C72">
    <cfRule type="expression" dxfId="451" priority="97">
      <formula>kvartal &lt; 4</formula>
    </cfRule>
  </conditionalFormatting>
  <conditionalFormatting sqref="B80">
    <cfRule type="expression" dxfId="450" priority="96">
      <formula>kvartal &lt; 4</formula>
    </cfRule>
  </conditionalFormatting>
  <conditionalFormatting sqref="C80">
    <cfRule type="expression" dxfId="449" priority="95">
      <formula>kvartal &lt; 4</formula>
    </cfRule>
  </conditionalFormatting>
  <conditionalFormatting sqref="B83">
    <cfRule type="expression" dxfId="448" priority="94">
      <formula>kvartal &lt; 4</formula>
    </cfRule>
  </conditionalFormatting>
  <conditionalFormatting sqref="C83">
    <cfRule type="expression" dxfId="447" priority="93">
      <formula>kvartal &lt; 4</formula>
    </cfRule>
  </conditionalFormatting>
  <conditionalFormatting sqref="B90">
    <cfRule type="expression" dxfId="446" priority="84">
      <formula>kvartal &lt; 4</formula>
    </cfRule>
  </conditionalFormatting>
  <conditionalFormatting sqref="C90">
    <cfRule type="expression" dxfId="445" priority="83">
      <formula>kvartal &lt; 4</formula>
    </cfRule>
  </conditionalFormatting>
  <conditionalFormatting sqref="B93">
    <cfRule type="expression" dxfId="444" priority="82">
      <formula>kvartal &lt; 4</formula>
    </cfRule>
  </conditionalFormatting>
  <conditionalFormatting sqref="C93">
    <cfRule type="expression" dxfId="443" priority="81">
      <formula>kvartal &lt; 4</formula>
    </cfRule>
  </conditionalFormatting>
  <conditionalFormatting sqref="B101">
    <cfRule type="expression" dxfId="442" priority="80">
      <formula>kvartal &lt; 4</formula>
    </cfRule>
  </conditionalFormatting>
  <conditionalFormatting sqref="C101">
    <cfRule type="expression" dxfId="441" priority="79">
      <formula>kvartal &lt; 4</formula>
    </cfRule>
  </conditionalFormatting>
  <conditionalFormatting sqref="B104">
    <cfRule type="expression" dxfId="440" priority="78">
      <formula>kvartal &lt; 4</formula>
    </cfRule>
  </conditionalFormatting>
  <conditionalFormatting sqref="C104">
    <cfRule type="expression" dxfId="439" priority="77">
      <formula>kvartal &lt; 4</formula>
    </cfRule>
  </conditionalFormatting>
  <conditionalFormatting sqref="B115">
    <cfRule type="expression" dxfId="438" priority="76">
      <formula>kvartal &lt; 4</formula>
    </cfRule>
  </conditionalFormatting>
  <conditionalFormatting sqref="C115">
    <cfRule type="expression" dxfId="437" priority="75">
      <formula>kvartal &lt; 4</formula>
    </cfRule>
  </conditionalFormatting>
  <conditionalFormatting sqref="B123">
    <cfRule type="expression" dxfId="436" priority="74">
      <formula>kvartal &lt; 4</formula>
    </cfRule>
  </conditionalFormatting>
  <conditionalFormatting sqref="C123">
    <cfRule type="expression" dxfId="435" priority="73">
      <formula>kvartal &lt; 4</formula>
    </cfRule>
  </conditionalFormatting>
  <conditionalFormatting sqref="F70">
    <cfRule type="expression" dxfId="434" priority="72">
      <formula>kvartal &lt; 4</formula>
    </cfRule>
  </conditionalFormatting>
  <conditionalFormatting sqref="G70">
    <cfRule type="expression" dxfId="433" priority="71">
      <formula>kvartal &lt; 4</formula>
    </cfRule>
  </conditionalFormatting>
  <conditionalFormatting sqref="F71:G71">
    <cfRule type="expression" dxfId="432" priority="70">
      <formula>kvartal &lt; 4</formula>
    </cfRule>
  </conditionalFormatting>
  <conditionalFormatting sqref="F73:G74">
    <cfRule type="expression" dxfId="431" priority="69">
      <formula>kvartal &lt; 4</formula>
    </cfRule>
  </conditionalFormatting>
  <conditionalFormatting sqref="F81:G82">
    <cfRule type="expression" dxfId="430" priority="68">
      <formula>kvartal &lt; 4</formula>
    </cfRule>
  </conditionalFormatting>
  <conditionalFormatting sqref="F84:G85">
    <cfRule type="expression" dxfId="429" priority="67">
      <formula>kvartal &lt; 4</formula>
    </cfRule>
  </conditionalFormatting>
  <conditionalFormatting sqref="F91:G92">
    <cfRule type="expression" dxfId="428" priority="62">
      <formula>kvartal &lt; 4</formula>
    </cfRule>
  </conditionalFormatting>
  <conditionalFormatting sqref="F94:G95">
    <cfRule type="expression" dxfId="427" priority="61">
      <formula>kvartal &lt; 4</formula>
    </cfRule>
  </conditionalFormatting>
  <conditionalFormatting sqref="F102:G103">
    <cfRule type="expression" dxfId="426" priority="60">
      <formula>kvartal &lt; 4</formula>
    </cfRule>
  </conditionalFormatting>
  <conditionalFormatting sqref="F105:G106">
    <cfRule type="expression" dxfId="425" priority="59">
      <formula>kvartal &lt; 4</formula>
    </cfRule>
  </conditionalFormatting>
  <conditionalFormatting sqref="F115">
    <cfRule type="expression" dxfId="424" priority="58">
      <formula>kvartal &lt; 4</formula>
    </cfRule>
  </conditionalFormatting>
  <conditionalFormatting sqref="G115">
    <cfRule type="expression" dxfId="423" priority="57">
      <formula>kvartal &lt; 4</formula>
    </cfRule>
  </conditionalFormatting>
  <conditionalFormatting sqref="F123:G123">
    <cfRule type="expression" dxfId="422" priority="56">
      <formula>kvartal &lt; 4</formula>
    </cfRule>
  </conditionalFormatting>
  <conditionalFormatting sqref="F69:G69">
    <cfRule type="expression" dxfId="421" priority="55">
      <formula>kvartal &lt; 4</formula>
    </cfRule>
  </conditionalFormatting>
  <conditionalFormatting sqref="F72:G72">
    <cfRule type="expression" dxfId="420" priority="54">
      <formula>kvartal &lt; 4</formula>
    </cfRule>
  </conditionalFormatting>
  <conditionalFormatting sqref="F80:G80">
    <cfRule type="expression" dxfId="419" priority="53">
      <formula>kvartal &lt; 4</formula>
    </cfRule>
  </conditionalFormatting>
  <conditionalFormatting sqref="F83:G83">
    <cfRule type="expression" dxfId="418" priority="52">
      <formula>kvartal &lt; 4</formula>
    </cfRule>
  </conditionalFormatting>
  <conditionalFormatting sqref="F90:G90">
    <cfRule type="expression" dxfId="417" priority="46">
      <formula>kvartal &lt; 4</formula>
    </cfRule>
  </conditionalFormatting>
  <conditionalFormatting sqref="F93">
    <cfRule type="expression" dxfId="416" priority="45">
      <formula>kvartal &lt; 4</formula>
    </cfRule>
  </conditionalFormatting>
  <conditionalFormatting sqref="G93">
    <cfRule type="expression" dxfId="415" priority="44">
      <formula>kvartal &lt; 4</formula>
    </cfRule>
  </conditionalFormatting>
  <conditionalFormatting sqref="F101">
    <cfRule type="expression" dxfId="414" priority="43">
      <formula>kvartal &lt; 4</formula>
    </cfRule>
  </conditionalFormatting>
  <conditionalFormatting sqref="G101">
    <cfRule type="expression" dxfId="413" priority="42">
      <formula>kvartal &lt; 4</formula>
    </cfRule>
  </conditionalFormatting>
  <conditionalFormatting sqref="G104">
    <cfRule type="expression" dxfId="412" priority="41">
      <formula>kvartal &lt; 4</formula>
    </cfRule>
  </conditionalFormatting>
  <conditionalFormatting sqref="F104">
    <cfRule type="expression" dxfId="411" priority="40">
      <formula>kvartal &lt; 4</formula>
    </cfRule>
  </conditionalFormatting>
  <conditionalFormatting sqref="J69:K73">
    <cfRule type="expression" dxfId="410" priority="39">
      <formula>kvartal &lt; 4</formula>
    </cfRule>
  </conditionalFormatting>
  <conditionalFormatting sqref="J74:K74">
    <cfRule type="expression" dxfId="409" priority="38">
      <formula>kvartal &lt; 4</formula>
    </cfRule>
  </conditionalFormatting>
  <conditionalFormatting sqref="J80:K85">
    <cfRule type="expression" dxfId="408" priority="37">
      <formula>kvartal &lt; 4</formula>
    </cfRule>
  </conditionalFormatting>
  <conditionalFormatting sqref="J90:K95">
    <cfRule type="expression" dxfId="407" priority="34">
      <formula>kvartal &lt; 4</formula>
    </cfRule>
  </conditionalFormatting>
  <conditionalFormatting sqref="J101:K106">
    <cfRule type="expression" dxfId="406" priority="33">
      <formula>kvartal &lt; 4</formula>
    </cfRule>
  </conditionalFormatting>
  <conditionalFormatting sqref="J115:K115">
    <cfRule type="expression" dxfId="405" priority="32">
      <formula>kvartal &lt; 4</formula>
    </cfRule>
  </conditionalFormatting>
  <conditionalFormatting sqref="J123:K123">
    <cfRule type="expression" dxfId="404" priority="31">
      <formula>kvartal &lt; 4</formula>
    </cfRule>
  </conditionalFormatting>
  <conditionalFormatting sqref="A50:A52">
    <cfRule type="expression" dxfId="403" priority="12">
      <formula>kvartal &lt; 4</formula>
    </cfRule>
  </conditionalFormatting>
  <conditionalFormatting sqref="A69:A74">
    <cfRule type="expression" dxfId="402" priority="10">
      <formula>kvartal &lt; 4</formula>
    </cfRule>
  </conditionalFormatting>
  <conditionalFormatting sqref="A80:A85">
    <cfRule type="expression" dxfId="401" priority="9">
      <formula>kvartal &lt; 4</formula>
    </cfRule>
  </conditionalFormatting>
  <conditionalFormatting sqref="A90:A95">
    <cfRule type="expression" dxfId="400" priority="6">
      <formula>kvartal &lt; 4</formula>
    </cfRule>
  </conditionalFormatting>
  <conditionalFormatting sqref="A101:A106">
    <cfRule type="expression" dxfId="399" priority="5">
      <formula>kvartal &lt; 4</formula>
    </cfRule>
  </conditionalFormatting>
  <conditionalFormatting sqref="A115">
    <cfRule type="expression" dxfId="398" priority="4">
      <formula>kvartal &lt; 4</formula>
    </cfRule>
  </conditionalFormatting>
  <conditionalFormatting sqref="A123">
    <cfRule type="expression" dxfId="397" priority="3">
      <formula>kvartal &lt; 4</formula>
    </cfRule>
  </conditionalFormatting>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N144"/>
  <sheetViews>
    <sheetView showGridLines="0" zoomScaleNormal="100" workbookViewId="0">
      <selection activeCell="A2" sqref="A2"/>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64"/>
      <c r="C1" s="246" t="s">
        <v>140</v>
      </c>
      <c r="D1" s="26"/>
      <c r="E1" s="26"/>
      <c r="F1" s="26"/>
      <c r="G1" s="26"/>
      <c r="H1" s="26"/>
      <c r="I1" s="26"/>
      <c r="J1" s="26"/>
      <c r="K1" s="26"/>
      <c r="L1" s="26"/>
      <c r="M1" s="26"/>
    </row>
    <row r="2" spans="1:14" ht="15.75" x14ac:dyDescent="0.25">
      <c r="A2" s="165" t="s">
        <v>28</v>
      </c>
      <c r="B2" s="700"/>
      <c r="C2" s="700"/>
      <c r="D2" s="700"/>
      <c r="E2" s="297"/>
      <c r="F2" s="700"/>
      <c r="G2" s="700"/>
      <c r="H2" s="700"/>
      <c r="I2" s="297"/>
      <c r="J2" s="700"/>
      <c r="K2" s="700"/>
      <c r="L2" s="700"/>
      <c r="M2" s="297"/>
    </row>
    <row r="3" spans="1:14" ht="15.75" x14ac:dyDescent="0.25">
      <c r="A3" s="163"/>
      <c r="B3" s="297"/>
      <c r="C3" s="297"/>
      <c r="D3" s="297"/>
      <c r="E3" s="297"/>
      <c r="F3" s="297"/>
      <c r="G3" s="297"/>
      <c r="H3" s="297"/>
      <c r="I3" s="297"/>
      <c r="J3" s="297"/>
      <c r="K3" s="297"/>
      <c r="L3" s="297"/>
      <c r="M3" s="297"/>
    </row>
    <row r="4" spans="1:14" x14ac:dyDescent="0.2">
      <c r="A4" s="144"/>
      <c r="B4" s="696" t="s">
        <v>0</v>
      </c>
      <c r="C4" s="697"/>
      <c r="D4" s="697"/>
      <c r="E4" s="299"/>
      <c r="F4" s="696" t="s">
        <v>1</v>
      </c>
      <c r="G4" s="697"/>
      <c r="H4" s="697"/>
      <c r="I4" s="302"/>
      <c r="J4" s="696" t="s">
        <v>2</v>
      </c>
      <c r="K4" s="697"/>
      <c r="L4" s="697"/>
      <c r="M4" s="302"/>
    </row>
    <row r="5" spans="1:14" x14ac:dyDescent="0.2">
      <c r="A5" s="158"/>
      <c r="B5" s="152" t="s">
        <v>422</v>
      </c>
      <c r="C5" s="152" t="s">
        <v>423</v>
      </c>
      <c r="D5" s="243" t="s">
        <v>3</v>
      </c>
      <c r="E5" s="303" t="s">
        <v>29</v>
      </c>
      <c r="F5" s="152" t="s">
        <v>422</v>
      </c>
      <c r="G5" s="152" t="s">
        <v>423</v>
      </c>
      <c r="H5" s="243" t="s">
        <v>3</v>
      </c>
      <c r="I5" s="162" t="s">
        <v>29</v>
      </c>
      <c r="J5" s="152" t="s">
        <v>422</v>
      </c>
      <c r="K5" s="152" t="s">
        <v>423</v>
      </c>
      <c r="L5" s="243" t="s">
        <v>3</v>
      </c>
      <c r="M5" s="162" t="s">
        <v>29</v>
      </c>
    </row>
    <row r="6" spans="1:14" x14ac:dyDescent="0.2">
      <c r="A6" s="665"/>
      <c r="B6" s="156"/>
      <c r="C6" s="156"/>
      <c r="D6" s="244" t="s">
        <v>4</v>
      </c>
      <c r="E6" s="156" t="s">
        <v>30</v>
      </c>
      <c r="F6" s="161"/>
      <c r="G6" s="161"/>
      <c r="H6" s="243" t="s">
        <v>4</v>
      </c>
      <c r="I6" s="156" t="s">
        <v>30</v>
      </c>
      <c r="J6" s="161"/>
      <c r="K6" s="161"/>
      <c r="L6" s="243" t="s">
        <v>4</v>
      </c>
      <c r="M6" s="156" t="s">
        <v>30</v>
      </c>
    </row>
    <row r="7" spans="1:14" ht="15.75" x14ac:dyDescent="0.2">
      <c r="A7" s="14" t="s">
        <v>23</v>
      </c>
      <c r="B7" s="304">
        <v>337672.86300000001</v>
      </c>
      <c r="C7" s="305">
        <v>340064.09499999997</v>
      </c>
      <c r="D7" s="347">
        <f>IF(B7=0, "    ---- ", IF(ABS(ROUND(100/B7*C7-100,1))&lt;999,ROUND(100/B7*C7-100,1),IF(ROUND(100/B7*C7-100,1)&gt;999,999,-999)))</f>
        <v>0.7</v>
      </c>
      <c r="E7" s="11">
        <f>IFERROR(100/'Skjema total MA'!C7*C7,0)</f>
        <v>12.805527926612715</v>
      </c>
      <c r="F7" s="304">
        <v>627778.83200000005</v>
      </c>
      <c r="G7" s="305">
        <v>618658.05900000001</v>
      </c>
      <c r="H7" s="347">
        <f>IF(F7=0, "    ---- ", IF(ABS(ROUND(100/F7*G7-100,1))&lt;999,ROUND(100/F7*G7-100,1),IF(ROUND(100/F7*G7-100,1)&gt;999,999,-999)))</f>
        <v>-1.5</v>
      </c>
      <c r="I7" s="160">
        <f>IFERROR(100/'Skjema total MA'!F7*G7,0)</f>
        <v>12.305993913722441</v>
      </c>
      <c r="J7" s="306">
        <f t="shared" ref="J7:K12" si="0">SUM(B7,F7)</f>
        <v>965451.69500000007</v>
      </c>
      <c r="K7" s="307">
        <f t="shared" si="0"/>
        <v>958722.15399999998</v>
      </c>
      <c r="L7" s="370">
        <f>IF(J7=0, "    ---- ", IF(ABS(ROUND(100/J7*K7-100,1))&lt;999,ROUND(100/J7*K7-100,1),IF(ROUND(100/J7*K7-100,1)&gt;999,999,-999)))</f>
        <v>-0.7</v>
      </c>
      <c r="M7" s="11">
        <f>IFERROR(100/'Skjema total MA'!I7*K7,0)</f>
        <v>12.478658589168797</v>
      </c>
    </row>
    <row r="8" spans="1:14" ht="15.75" x14ac:dyDescent="0.2">
      <c r="A8" s="21" t="s">
        <v>25</v>
      </c>
      <c r="B8" s="279">
        <v>128519.679</v>
      </c>
      <c r="C8" s="280">
        <v>129362.181</v>
      </c>
      <c r="D8" s="166">
        <f t="shared" ref="D8:D10" si="1">IF(B8=0, "    ---- ", IF(ABS(ROUND(100/B8*C8-100,1))&lt;999,ROUND(100/B8*C8-100,1),IF(ROUND(100/B8*C8-100,1)&gt;999,999,-999)))</f>
        <v>0.7</v>
      </c>
      <c r="E8" s="27">
        <f>IFERROR(100/'Skjema total MA'!C8*C8,0)</f>
        <v>8.0996106043793521</v>
      </c>
      <c r="F8" s="283"/>
      <c r="G8" s="284"/>
      <c r="H8" s="166"/>
      <c r="I8" s="175"/>
      <c r="J8" s="232">
        <f t="shared" si="0"/>
        <v>128519.679</v>
      </c>
      <c r="K8" s="285">
        <f t="shared" si="0"/>
        <v>129362.181</v>
      </c>
      <c r="L8" s="166">
        <f t="shared" ref="L8:L9" si="2">IF(J8=0, "    ---- ", IF(ABS(ROUND(100/J8*K8-100,1))&lt;999,ROUND(100/J8*K8-100,1),IF(ROUND(100/J8*K8-100,1)&gt;999,999,-999)))</f>
        <v>0.7</v>
      </c>
      <c r="M8" s="27">
        <f>IFERROR(100/'Skjema total MA'!I8*K8,0)</f>
        <v>8.0996106043793521</v>
      </c>
    </row>
    <row r="9" spans="1:14" ht="15.75" x14ac:dyDescent="0.2">
      <c r="A9" s="21" t="s">
        <v>24</v>
      </c>
      <c r="B9" s="279">
        <v>35899.978999999999</v>
      </c>
      <c r="C9" s="280">
        <v>31292.077000000001</v>
      </c>
      <c r="D9" s="166">
        <f t="shared" si="1"/>
        <v>-12.8</v>
      </c>
      <c r="E9" s="27">
        <f>IFERROR(100/'Skjema total MA'!C9*C9,0)</f>
        <v>5.3742434225328735</v>
      </c>
      <c r="F9" s="283"/>
      <c r="G9" s="284"/>
      <c r="H9" s="166"/>
      <c r="I9" s="175"/>
      <c r="J9" s="232">
        <f t="shared" si="0"/>
        <v>35899.978999999999</v>
      </c>
      <c r="K9" s="285">
        <f t="shared" si="0"/>
        <v>31292.077000000001</v>
      </c>
      <c r="L9" s="166">
        <f t="shared" si="2"/>
        <v>-12.8</v>
      </c>
      <c r="M9" s="27">
        <f>IFERROR(100/'Skjema total MA'!I9*K9,0)</f>
        <v>5.3742434225328735</v>
      </c>
    </row>
    <row r="10" spans="1:14" ht="15.75" x14ac:dyDescent="0.2">
      <c r="A10" s="13" t="s">
        <v>371</v>
      </c>
      <c r="B10" s="308">
        <v>4052377.8470000001</v>
      </c>
      <c r="C10" s="309">
        <v>3968437.5610000002</v>
      </c>
      <c r="D10" s="171">
        <f t="shared" si="1"/>
        <v>-2.1</v>
      </c>
      <c r="E10" s="11">
        <f>IFERROR(100/'Skjema total MA'!C10*C10,0)</f>
        <v>20.149155011769764</v>
      </c>
      <c r="F10" s="308">
        <v>6728820.176</v>
      </c>
      <c r="G10" s="309">
        <v>6903009.4740000004</v>
      </c>
      <c r="H10" s="171">
        <f t="shared" ref="H10:H12" si="3">IF(F10=0, "    ---- ", IF(ABS(ROUND(100/F10*G10-100,1))&lt;999,ROUND(100/F10*G10-100,1),IF(ROUND(100/F10*G10-100,1)&gt;999,999,-999)))</f>
        <v>2.6</v>
      </c>
      <c r="I10" s="160">
        <f>IFERROR(100/'Skjema total MA'!F10*G10,0)</f>
        <v>14.875938892602671</v>
      </c>
      <c r="J10" s="306">
        <f t="shared" si="0"/>
        <v>10781198.023</v>
      </c>
      <c r="K10" s="307">
        <f t="shared" si="0"/>
        <v>10871447.035</v>
      </c>
      <c r="L10" s="371">
        <f t="shared" ref="L10:L12" si="4">IF(J10=0, "    ---- ", IF(ABS(ROUND(100/J10*K10-100,1))&lt;999,ROUND(100/J10*K10-100,1),IF(ROUND(100/J10*K10-100,1)&gt;999,999,-999)))</f>
        <v>0.8</v>
      </c>
      <c r="M10" s="11">
        <f>IFERROR(100/'Skjema total MA'!I10*K10,0)</f>
        <v>16.447178171262784</v>
      </c>
    </row>
    <row r="11" spans="1:14" s="43" customFormat="1" ht="15.75" x14ac:dyDescent="0.2">
      <c r="A11" s="13" t="s">
        <v>372</v>
      </c>
      <c r="B11" s="308"/>
      <c r="C11" s="309"/>
      <c r="D11" s="171"/>
      <c r="E11" s="11"/>
      <c r="F11" s="308">
        <v>12172.494000000001</v>
      </c>
      <c r="G11" s="309">
        <v>2476.8359999999998</v>
      </c>
      <c r="H11" s="171">
        <f t="shared" si="3"/>
        <v>-79.7</v>
      </c>
      <c r="I11" s="160">
        <f>IFERROR(100/'Skjema total MA'!F11*G11,0)</f>
        <v>1.4751867502655049</v>
      </c>
      <c r="J11" s="306">
        <f t="shared" si="0"/>
        <v>12172.494000000001</v>
      </c>
      <c r="K11" s="307">
        <f t="shared" si="0"/>
        <v>2476.8359999999998</v>
      </c>
      <c r="L11" s="371">
        <f t="shared" si="4"/>
        <v>-79.7</v>
      </c>
      <c r="M11" s="11">
        <f>IFERROR(100/'Skjema total MA'!I11*K11,0)</f>
        <v>1.2833757638329606</v>
      </c>
      <c r="N11" s="143"/>
    </row>
    <row r="12" spans="1:14" s="43" customFormat="1" ht="15.75" x14ac:dyDescent="0.2">
      <c r="A12" s="41" t="s">
        <v>373</v>
      </c>
      <c r="B12" s="310"/>
      <c r="C12" s="311"/>
      <c r="D12" s="169"/>
      <c r="E12" s="36"/>
      <c r="F12" s="310">
        <v>23453.985000000001</v>
      </c>
      <c r="G12" s="311">
        <v>12145.547</v>
      </c>
      <c r="H12" s="169">
        <f t="shared" si="3"/>
        <v>-48.2</v>
      </c>
      <c r="I12" s="169">
        <f>IFERROR(100/'Skjema total MA'!F12*G12,0)</f>
        <v>10.717436514469885</v>
      </c>
      <c r="J12" s="312">
        <f t="shared" si="0"/>
        <v>23453.985000000001</v>
      </c>
      <c r="K12" s="313">
        <f t="shared" si="0"/>
        <v>12145.547</v>
      </c>
      <c r="L12" s="372">
        <f t="shared" si="4"/>
        <v>-48.2</v>
      </c>
      <c r="M12" s="36">
        <f>IFERROR(100/'Skjema total MA'!I12*K12,0)</f>
        <v>10.3216923393474</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95"/>
      <c r="C18" s="695"/>
      <c r="D18" s="695"/>
      <c r="E18" s="297"/>
      <c r="F18" s="695"/>
      <c r="G18" s="695"/>
      <c r="H18" s="695"/>
      <c r="I18" s="297"/>
      <c r="J18" s="695"/>
      <c r="K18" s="695"/>
      <c r="L18" s="695"/>
      <c r="M18" s="297"/>
    </row>
    <row r="19" spans="1:14" x14ac:dyDescent="0.2">
      <c r="A19" s="144"/>
      <c r="B19" s="696" t="s">
        <v>0</v>
      </c>
      <c r="C19" s="697"/>
      <c r="D19" s="697"/>
      <c r="E19" s="299"/>
      <c r="F19" s="696" t="s">
        <v>1</v>
      </c>
      <c r="G19" s="697"/>
      <c r="H19" s="697"/>
      <c r="I19" s="302"/>
      <c r="J19" s="696" t="s">
        <v>2</v>
      </c>
      <c r="K19" s="697"/>
      <c r="L19" s="697"/>
      <c r="M19" s="302"/>
    </row>
    <row r="20" spans="1:14" x14ac:dyDescent="0.2">
      <c r="A20" s="140" t="s">
        <v>5</v>
      </c>
      <c r="B20" s="152" t="s">
        <v>422</v>
      </c>
      <c r="C20" s="152" t="s">
        <v>423</v>
      </c>
      <c r="D20" s="162" t="s">
        <v>3</v>
      </c>
      <c r="E20" s="303" t="s">
        <v>29</v>
      </c>
      <c r="F20" s="152" t="s">
        <v>422</v>
      </c>
      <c r="G20" s="152" t="s">
        <v>423</v>
      </c>
      <c r="H20" s="162" t="s">
        <v>3</v>
      </c>
      <c r="I20" s="162" t="s">
        <v>29</v>
      </c>
      <c r="J20" s="152" t="s">
        <v>422</v>
      </c>
      <c r="K20" s="152" t="s">
        <v>423</v>
      </c>
      <c r="L20" s="162" t="s">
        <v>3</v>
      </c>
      <c r="M20" s="162" t="s">
        <v>29</v>
      </c>
    </row>
    <row r="21" spans="1:14" x14ac:dyDescent="0.2">
      <c r="A21" s="666"/>
      <c r="B21" s="156"/>
      <c r="C21" s="156"/>
      <c r="D21" s="244" t="s">
        <v>4</v>
      </c>
      <c r="E21" s="156" t="s">
        <v>30</v>
      </c>
      <c r="F21" s="161"/>
      <c r="G21" s="161"/>
      <c r="H21" s="243" t="s">
        <v>4</v>
      </c>
      <c r="I21" s="156" t="s">
        <v>30</v>
      </c>
      <c r="J21" s="161"/>
      <c r="K21" s="161"/>
      <c r="L21" s="156" t="s">
        <v>4</v>
      </c>
      <c r="M21" s="156" t="s">
        <v>30</v>
      </c>
    </row>
    <row r="22" spans="1:14" ht="15.75" x14ac:dyDescent="0.2">
      <c r="A22" s="14" t="s">
        <v>23</v>
      </c>
      <c r="B22" s="308">
        <v>5079.3490000000002</v>
      </c>
      <c r="C22" s="308">
        <v>4520.83</v>
      </c>
      <c r="D22" s="347">
        <f t="shared" ref="D22:D37" si="5">IF(B22=0, "    ---- ", IF(ABS(ROUND(100/B22*C22-100,1))&lt;999,ROUND(100/B22*C22-100,1),IF(ROUND(100/B22*C22-100,1)&gt;999,999,-999)))</f>
        <v>-11</v>
      </c>
      <c r="E22" s="11">
        <f>IFERROR(100/'Skjema total MA'!C22*C22,0)</f>
        <v>0.43718077166661146</v>
      </c>
      <c r="F22" s="316">
        <v>203093.29</v>
      </c>
      <c r="G22" s="316">
        <v>176713.44699999999</v>
      </c>
      <c r="H22" s="347">
        <f t="shared" ref="H22:H35" si="6">IF(F22=0, "    ---- ", IF(ABS(ROUND(100/F22*G22-100,1))&lt;999,ROUND(100/F22*G22-100,1),IF(ROUND(100/F22*G22-100,1)&gt;999,999,-999)))</f>
        <v>-13</v>
      </c>
      <c r="I22" s="11">
        <f>IFERROR(100/'Skjema total MA'!F22*G22,0)</f>
        <v>31.923377200965344</v>
      </c>
      <c r="J22" s="314">
        <f t="shared" ref="J22:K35" si="7">SUM(B22,F22)</f>
        <v>208172.639</v>
      </c>
      <c r="K22" s="314">
        <f t="shared" si="7"/>
        <v>181234.27699999997</v>
      </c>
      <c r="L22" s="370">
        <f t="shared" ref="L22:L37" si="8">IF(J22=0, "    ---- ", IF(ABS(ROUND(100/J22*K22-100,1))&lt;999,ROUND(100/J22*K22-100,1),IF(ROUND(100/J22*K22-100,1)&gt;999,999,-999)))</f>
        <v>-12.9</v>
      </c>
      <c r="M22" s="24">
        <f>IFERROR(100/'Skjema total MA'!I22*K22,0)</f>
        <v>11.415310626810946</v>
      </c>
    </row>
    <row r="23" spans="1:14" ht="15.75" x14ac:dyDescent="0.2">
      <c r="A23" s="551" t="s">
        <v>374</v>
      </c>
      <c r="B23" s="279">
        <v>658.55499999999995</v>
      </c>
      <c r="C23" s="279">
        <v>591.245</v>
      </c>
      <c r="D23" s="252">
        <f t="shared" si="5"/>
        <v>-10.199999999999999</v>
      </c>
      <c r="E23" s="11">
        <f>IFERROR(100/'Skjema total MA'!C23*C23,0)</f>
        <v>7.7745226843785556E-2</v>
      </c>
      <c r="F23" s="288">
        <v>30533.653999999999</v>
      </c>
      <c r="G23" s="288">
        <v>16239</v>
      </c>
      <c r="H23" s="252">
        <f t="shared" si="6"/>
        <v>-46.8</v>
      </c>
      <c r="I23" s="363">
        <f>IFERROR(100/'Skjema total MA'!F23*G23,0)</f>
        <v>37.891550690536704</v>
      </c>
      <c r="J23" s="288">
        <f t="shared" ref="J23:J26" si="9">SUM(B23,F23)</f>
        <v>31192.208999999999</v>
      </c>
      <c r="K23" s="288">
        <f t="shared" ref="K23:K26" si="10">SUM(C23,G23)</f>
        <v>16830.244999999999</v>
      </c>
      <c r="L23" s="252">
        <f t="shared" si="8"/>
        <v>-46</v>
      </c>
      <c r="M23" s="23">
        <f>IFERROR(100/'Skjema total MA'!I23*K23,0)</f>
        <v>2.0950157671666982</v>
      </c>
    </row>
    <row r="24" spans="1:14" ht="15.75" x14ac:dyDescent="0.2">
      <c r="A24" s="551" t="s">
        <v>375</v>
      </c>
      <c r="B24" s="279">
        <v>4420.7939999999999</v>
      </c>
      <c r="C24" s="279">
        <v>3929.585</v>
      </c>
      <c r="D24" s="252">
        <f t="shared" si="5"/>
        <v>-11.1</v>
      </c>
      <c r="E24" s="11">
        <f>IFERROR(100/'Skjema total MA'!C24*C24,0)</f>
        <v>20.1108175752011</v>
      </c>
      <c r="F24" s="288">
        <v>34919.910000000003</v>
      </c>
      <c r="G24" s="288">
        <v>-3</v>
      </c>
      <c r="H24" s="252">
        <f t="shared" si="6"/>
        <v>-100</v>
      </c>
      <c r="I24" s="363">
        <f>IFERROR(100/'Skjema total MA'!F24*G24,0)</f>
        <v>-0.30382340795091067</v>
      </c>
      <c r="J24" s="288">
        <f t="shared" si="9"/>
        <v>39340.704000000005</v>
      </c>
      <c r="K24" s="288">
        <f t="shared" si="10"/>
        <v>3926.585</v>
      </c>
      <c r="L24" s="252">
        <f t="shared" si="8"/>
        <v>-90</v>
      </c>
      <c r="M24" s="23">
        <f>IFERROR(100/'Skjema total MA'!I24*K24,0)</f>
        <v>19.128810251809714</v>
      </c>
    </row>
    <row r="25" spans="1:14" ht="15.75" x14ac:dyDescent="0.2">
      <c r="A25" s="551" t="s">
        <v>376</v>
      </c>
      <c r="B25" s="279"/>
      <c r="C25" s="279"/>
      <c r="D25" s="166"/>
      <c r="E25" s="11"/>
      <c r="F25" s="288">
        <v>122</v>
      </c>
      <c r="G25" s="288">
        <v>222.87100000000001</v>
      </c>
      <c r="H25" s="252">
        <f t="shared" si="6"/>
        <v>82.7</v>
      </c>
      <c r="I25" s="363">
        <f>IFERROR(100/'Skjema total MA'!F25*G25,0)</f>
        <v>1.1049572085562784</v>
      </c>
      <c r="J25" s="288">
        <f t="shared" si="9"/>
        <v>122</v>
      </c>
      <c r="K25" s="288">
        <f t="shared" si="10"/>
        <v>222.87100000000001</v>
      </c>
      <c r="L25" s="252">
        <f t="shared" si="8"/>
        <v>82.7</v>
      </c>
      <c r="M25" s="23">
        <f>IFERROR(100/'Skjema total MA'!I25*K25,0)</f>
        <v>0.57020221056757259</v>
      </c>
    </row>
    <row r="26" spans="1:14" ht="15.75" x14ac:dyDescent="0.2">
      <c r="A26" s="551" t="s">
        <v>377</v>
      </c>
      <c r="B26" s="279"/>
      <c r="C26" s="279"/>
      <c r="D26" s="166"/>
      <c r="E26" s="11"/>
      <c r="F26" s="288">
        <v>137517.726</v>
      </c>
      <c r="G26" s="288">
        <v>160700</v>
      </c>
      <c r="H26" s="252">
        <f t="shared" si="6"/>
        <v>16.899999999999999</v>
      </c>
      <c r="I26" s="363">
        <f>IFERROR(100/'Skjema total MA'!F26*G26,0)</f>
        <v>32.796830355501868</v>
      </c>
      <c r="J26" s="288">
        <f t="shared" si="9"/>
        <v>137517.726</v>
      </c>
      <c r="K26" s="288">
        <f t="shared" si="10"/>
        <v>160700</v>
      </c>
      <c r="L26" s="252">
        <f t="shared" si="8"/>
        <v>16.899999999999999</v>
      </c>
      <c r="M26" s="23">
        <f>IFERROR(100/'Skjema total MA'!I26*K26,0)</f>
        <v>32.796830355501868</v>
      </c>
    </row>
    <row r="27" spans="1:14" x14ac:dyDescent="0.2">
      <c r="A27" s="551" t="s">
        <v>11</v>
      </c>
      <c r="B27" s="279"/>
      <c r="C27" s="279"/>
      <c r="D27" s="166"/>
      <c r="E27" s="11"/>
      <c r="F27" s="288"/>
      <c r="G27" s="288"/>
      <c r="H27" s="166"/>
      <c r="I27" s="363"/>
      <c r="J27" s="288"/>
      <c r="K27" s="288"/>
      <c r="L27" s="166"/>
      <c r="M27" s="23"/>
    </row>
    <row r="28" spans="1:14" ht="15.75" x14ac:dyDescent="0.2">
      <c r="A28" s="49" t="s">
        <v>282</v>
      </c>
      <c r="B28" s="44">
        <v>102977.201</v>
      </c>
      <c r="C28" s="285">
        <v>95849.547999999995</v>
      </c>
      <c r="D28" s="166">
        <f t="shared" si="5"/>
        <v>-6.9</v>
      </c>
      <c r="E28" s="11">
        <f>IFERROR(100/'Skjema total MA'!C28*C28,0)</f>
        <v>9.1614215490051478</v>
      </c>
      <c r="F28" s="232"/>
      <c r="G28" s="285"/>
      <c r="H28" s="166"/>
      <c r="I28" s="27"/>
      <c r="J28" s="44">
        <f t="shared" si="7"/>
        <v>102977.201</v>
      </c>
      <c r="K28" s="44">
        <f t="shared" si="7"/>
        <v>95849.547999999995</v>
      </c>
      <c r="L28" s="252">
        <f t="shared" si="8"/>
        <v>-6.9</v>
      </c>
      <c r="M28" s="23">
        <f>IFERROR(100/'Skjema total MA'!I28*K28,0)</f>
        <v>9.1614215490051478</v>
      </c>
    </row>
    <row r="29" spans="1:14" s="3" customFormat="1" ht="15.75" x14ac:dyDescent="0.2">
      <c r="A29" s="13" t="s">
        <v>371</v>
      </c>
      <c r="B29" s="234">
        <v>10794750</v>
      </c>
      <c r="C29" s="234">
        <v>10022799</v>
      </c>
      <c r="D29" s="171">
        <f t="shared" si="5"/>
        <v>-7.2</v>
      </c>
      <c r="E29" s="11">
        <f>IFERROR(100/'Skjema total MA'!C29*C29,0)</f>
        <v>21.119870902867717</v>
      </c>
      <c r="F29" s="306">
        <v>4268690.3020000001</v>
      </c>
      <c r="G29" s="306">
        <v>4518565.1449999996</v>
      </c>
      <c r="H29" s="171">
        <f t="shared" si="6"/>
        <v>5.9</v>
      </c>
      <c r="I29" s="11">
        <f>IFERROR(100/'Skjema total MA'!F29*G29,0)</f>
        <v>22.115260084807538</v>
      </c>
      <c r="J29" s="234">
        <f t="shared" si="7"/>
        <v>15063440.302000001</v>
      </c>
      <c r="K29" s="234">
        <f t="shared" si="7"/>
        <v>14541364.145</v>
      </c>
      <c r="L29" s="371">
        <f t="shared" si="8"/>
        <v>-3.5</v>
      </c>
      <c r="M29" s="24">
        <f>IFERROR(100/'Skjema total MA'!I29*K29,0)</f>
        <v>21.419445152178987</v>
      </c>
      <c r="N29" s="148"/>
    </row>
    <row r="30" spans="1:14" s="3" customFormat="1" ht="15.75" x14ac:dyDescent="0.2">
      <c r="A30" s="551" t="s">
        <v>374</v>
      </c>
      <c r="B30" s="279">
        <v>1399576</v>
      </c>
      <c r="C30" s="279">
        <v>1310806</v>
      </c>
      <c r="D30" s="252">
        <f t="shared" si="5"/>
        <v>-6.3</v>
      </c>
      <c r="E30" s="11">
        <f>IFERROR(100/'Skjema total MA'!C30*C30,0)</f>
        <v>12.529992030036839</v>
      </c>
      <c r="F30" s="288">
        <v>520759.86499999999</v>
      </c>
      <c r="G30" s="288">
        <v>509780.576</v>
      </c>
      <c r="H30" s="252">
        <f t="shared" si="6"/>
        <v>-2.1</v>
      </c>
      <c r="I30" s="363">
        <f>IFERROR(100/'Skjema total MA'!F30*G30,0)</f>
        <v>11.978672822349447</v>
      </c>
      <c r="J30" s="288">
        <f t="shared" ref="J30:J33" si="11">SUM(B30,F30)</f>
        <v>1920335.865</v>
      </c>
      <c r="K30" s="288">
        <f t="shared" ref="K30:K33" si="12">SUM(C30,G30)</f>
        <v>1820586.5759999999</v>
      </c>
      <c r="L30" s="252">
        <f t="shared" si="8"/>
        <v>-5.2</v>
      </c>
      <c r="M30" s="23">
        <f>IFERROR(100/'Skjema total MA'!I30*K30,0)</f>
        <v>12.370567193483209</v>
      </c>
      <c r="N30" s="148"/>
    </row>
    <row r="31" spans="1:14" s="3" customFormat="1" ht="15.75" x14ac:dyDescent="0.2">
      <c r="A31" s="551" t="s">
        <v>375</v>
      </c>
      <c r="B31" s="279">
        <v>9395174</v>
      </c>
      <c r="C31" s="279">
        <v>8711993</v>
      </c>
      <c r="D31" s="252">
        <f t="shared" si="5"/>
        <v>-7.3</v>
      </c>
      <c r="E31" s="11">
        <f>IFERROR(100/'Skjema total MA'!C31*C31,0)</f>
        <v>25.896902970048043</v>
      </c>
      <c r="F31" s="288">
        <v>2068526.4369999999</v>
      </c>
      <c r="G31" s="288">
        <v>1842306.669</v>
      </c>
      <c r="H31" s="252">
        <f t="shared" si="6"/>
        <v>-10.9</v>
      </c>
      <c r="I31" s="363">
        <f>IFERROR(100/'Skjema total MA'!F31*G31,0)</f>
        <v>19.721582410812552</v>
      </c>
      <c r="J31" s="288">
        <f t="shared" si="11"/>
        <v>11463700.436999999</v>
      </c>
      <c r="K31" s="288">
        <f t="shared" si="12"/>
        <v>10554299.669</v>
      </c>
      <c r="L31" s="252">
        <f t="shared" si="8"/>
        <v>-7.9</v>
      </c>
      <c r="M31" s="23">
        <f>IFERROR(100/'Skjema total MA'!I31*K31,0)</f>
        <v>24.554797612388978</v>
      </c>
      <c r="N31" s="148"/>
    </row>
    <row r="32" spans="1:14" ht="15.75" x14ac:dyDescent="0.2">
      <c r="A32" s="551" t="s">
        <v>376</v>
      </c>
      <c r="B32" s="279"/>
      <c r="C32" s="279"/>
      <c r="D32" s="166"/>
      <c r="E32" s="11"/>
      <c r="F32" s="288">
        <v>1223462</v>
      </c>
      <c r="G32" s="288">
        <v>1301898.8030000001</v>
      </c>
      <c r="H32" s="252">
        <f t="shared" si="6"/>
        <v>6.4</v>
      </c>
      <c r="I32" s="363">
        <f>IFERROR(100/'Skjema total MA'!F32*G32,0)</f>
        <v>30.048071389268546</v>
      </c>
      <c r="J32" s="288">
        <f t="shared" si="11"/>
        <v>1223462</v>
      </c>
      <c r="K32" s="288">
        <f t="shared" si="12"/>
        <v>1301898.8030000001</v>
      </c>
      <c r="L32" s="252">
        <f t="shared" si="8"/>
        <v>6.4</v>
      </c>
      <c r="M32" s="23">
        <f>IFERROR(100/'Skjema total MA'!I32*K32,0)</f>
        <v>22.511078170620351</v>
      </c>
    </row>
    <row r="33" spans="1:14" ht="15.75" x14ac:dyDescent="0.2">
      <c r="A33" s="551" t="s">
        <v>377</v>
      </c>
      <c r="B33" s="279"/>
      <c r="C33" s="279"/>
      <c r="D33" s="166"/>
      <c r="E33" s="11"/>
      <c r="F33" s="279">
        <v>455942</v>
      </c>
      <c r="G33" s="279">
        <v>864579.09699999995</v>
      </c>
      <c r="H33" s="252">
        <f t="shared" si="6"/>
        <v>89.6</v>
      </c>
      <c r="I33" s="363">
        <f>IFERROR(100/'Skjema total MA'!F33*G33,0)</f>
        <v>34.55750108283754</v>
      </c>
      <c r="J33" s="288">
        <f t="shared" si="11"/>
        <v>455942</v>
      </c>
      <c r="K33" s="288">
        <f t="shared" si="12"/>
        <v>864579.09699999995</v>
      </c>
      <c r="L33" s="252">
        <f t="shared" si="8"/>
        <v>89.6</v>
      </c>
      <c r="M33" s="23">
        <f>IFERROR(100/'Skjema total MA'!I34*K33,0)</f>
        <v>1667.6335950990315</v>
      </c>
    </row>
    <row r="34" spans="1:14" ht="15.75" x14ac:dyDescent="0.2">
      <c r="A34" s="13" t="s">
        <v>372</v>
      </c>
      <c r="B34" s="234">
        <v>2370.9430000000002</v>
      </c>
      <c r="C34" s="307">
        <v>3368.5320000000002</v>
      </c>
      <c r="D34" s="171">
        <f t="shared" si="5"/>
        <v>42.1</v>
      </c>
      <c r="E34" s="11">
        <f>IFERROR(100/'Skjema total MA'!C34*C34,0)</f>
        <v>26.085287897997237</v>
      </c>
      <c r="F34" s="306">
        <v>7840.8770000000004</v>
      </c>
      <c r="G34" s="307">
        <v>7863.2190000000001</v>
      </c>
      <c r="H34" s="171">
        <f t="shared" si="6"/>
        <v>0.3</v>
      </c>
      <c r="I34" s="11">
        <f>IFERROR(100/'Skjema total MA'!F34*G34,0)</f>
        <v>20.197764191763781</v>
      </c>
      <c r="J34" s="234">
        <f t="shared" si="7"/>
        <v>10211.82</v>
      </c>
      <c r="K34" s="234">
        <f t="shared" si="7"/>
        <v>11231.751</v>
      </c>
      <c r="L34" s="371">
        <f t="shared" si="8"/>
        <v>10</v>
      </c>
      <c r="M34" s="24">
        <f>IFERROR(100/'Skjema total MA'!I34*K34,0)</f>
        <v>21.664235654528142</v>
      </c>
    </row>
    <row r="35" spans="1:14" ht="15.75" x14ac:dyDescent="0.2">
      <c r="A35" s="13" t="s">
        <v>373</v>
      </c>
      <c r="B35" s="234">
        <v>936.154</v>
      </c>
      <c r="C35" s="307">
        <v>791.60400000000004</v>
      </c>
      <c r="D35" s="171">
        <f t="shared" si="5"/>
        <v>-15.4</v>
      </c>
      <c r="E35" s="11">
        <f>IFERROR(100/'Skjema total MA'!C35*C35,0)</f>
        <v>-6.6324514835713995</v>
      </c>
      <c r="F35" s="306">
        <v>6559.2920000000004</v>
      </c>
      <c r="G35" s="307">
        <v>11616.182000000001</v>
      </c>
      <c r="H35" s="171">
        <f t="shared" si="6"/>
        <v>77.099999999999994</v>
      </c>
      <c r="I35" s="11">
        <f>IFERROR(100/'Skjema total MA'!F35*G35,0)</f>
        <v>18.174181327735688</v>
      </c>
      <c r="J35" s="234">
        <f t="shared" si="7"/>
        <v>7495.4459999999999</v>
      </c>
      <c r="K35" s="234">
        <f t="shared" si="7"/>
        <v>12407.786</v>
      </c>
      <c r="L35" s="371">
        <f t="shared" si="8"/>
        <v>65.5</v>
      </c>
      <c r="M35" s="24">
        <f>IFERROR(100/'Skjema total MA'!I35*K35,0)</f>
        <v>23.870063493846082</v>
      </c>
    </row>
    <row r="36" spans="1:14" ht="15.75" x14ac:dyDescent="0.2">
      <c r="A36" s="12" t="s">
        <v>290</v>
      </c>
      <c r="B36" s="234">
        <v>33.963000000000001</v>
      </c>
      <c r="C36" s="307">
        <v>34.747999999999998</v>
      </c>
      <c r="D36" s="171">
        <f t="shared" si="5"/>
        <v>2.2999999999999998</v>
      </c>
      <c r="E36" s="11">
        <f>100/'Skjema total MA'!C36*C36</f>
        <v>1.6186343250348898</v>
      </c>
      <c r="F36" s="317"/>
      <c r="G36" s="318"/>
      <c r="H36" s="171"/>
      <c r="I36" s="377"/>
      <c r="J36" s="234">
        <f t="shared" ref="J36:J37" si="13">SUM(B36,F36)</f>
        <v>33.963000000000001</v>
      </c>
      <c r="K36" s="234">
        <f t="shared" ref="K36:K37" si="14">SUM(C36,G36)</f>
        <v>34.747999999999998</v>
      </c>
      <c r="L36" s="371">
        <f t="shared" si="8"/>
        <v>2.2999999999999998</v>
      </c>
      <c r="M36" s="24">
        <f>IFERROR(100/'Skjema total MA'!I36*K36,0)</f>
        <v>1.6186343250348898</v>
      </c>
    </row>
    <row r="37" spans="1:14" ht="15.75" x14ac:dyDescent="0.2">
      <c r="A37" s="12" t="s">
        <v>379</v>
      </c>
      <c r="B37" s="234">
        <v>480285.397</v>
      </c>
      <c r="C37" s="307">
        <v>465322.22100000002</v>
      </c>
      <c r="D37" s="171">
        <f t="shared" si="5"/>
        <v>-3.1</v>
      </c>
      <c r="E37" s="11">
        <f>100/'Skjema total MA'!C37*C37</f>
        <v>12.411223007842921</v>
      </c>
      <c r="F37" s="317"/>
      <c r="G37" s="319"/>
      <c r="H37" s="171"/>
      <c r="I37" s="377"/>
      <c r="J37" s="234">
        <f t="shared" si="13"/>
        <v>480285.397</v>
      </c>
      <c r="K37" s="234">
        <f t="shared" si="14"/>
        <v>465322.22100000002</v>
      </c>
      <c r="L37" s="371">
        <f t="shared" si="8"/>
        <v>-3.1</v>
      </c>
      <c r="M37" s="24">
        <f>IFERROR(100/'Skjema total MA'!I37*K37,0)</f>
        <v>12.411223007842921</v>
      </c>
    </row>
    <row r="38" spans="1:14" ht="15.75" x14ac:dyDescent="0.2">
      <c r="A38" s="12" t="s">
        <v>380</v>
      </c>
      <c r="B38" s="234"/>
      <c r="C38" s="307"/>
      <c r="D38" s="171"/>
      <c r="E38" s="24"/>
      <c r="F38" s="317"/>
      <c r="G38" s="318"/>
      <c r="H38" s="171"/>
      <c r="I38" s="377"/>
      <c r="J38" s="234"/>
      <c r="K38" s="234"/>
      <c r="L38" s="371"/>
      <c r="M38" s="24"/>
    </row>
    <row r="39" spans="1:14" ht="15.75" x14ac:dyDescent="0.2">
      <c r="A39" s="18" t="s">
        <v>381</v>
      </c>
      <c r="B39" s="274"/>
      <c r="C39" s="313"/>
      <c r="D39" s="169"/>
      <c r="E39" s="36"/>
      <c r="F39" s="320"/>
      <c r="G39" s="321"/>
      <c r="H39" s="169"/>
      <c r="I39" s="36"/>
      <c r="J39" s="234"/>
      <c r="K39" s="234"/>
      <c r="L39" s="372"/>
      <c r="M39" s="36"/>
    </row>
    <row r="40" spans="1:14" ht="15.75" x14ac:dyDescent="0.25">
      <c r="A40" s="47"/>
      <c r="B40" s="251"/>
      <c r="C40" s="251"/>
      <c r="D40" s="699"/>
      <c r="E40" s="699"/>
      <c r="F40" s="699"/>
      <c r="G40" s="699"/>
      <c r="H40" s="699"/>
      <c r="I40" s="699"/>
      <c r="J40" s="699"/>
      <c r="K40" s="699"/>
      <c r="L40" s="699"/>
      <c r="M40" s="300"/>
    </row>
    <row r="41" spans="1:14" x14ac:dyDescent="0.2">
      <c r="A41" s="155"/>
    </row>
    <row r="42" spans="1:14" ht="15.75" x14ac:dyDescent="0.25">
      <c r="A42" s="147" t="s">
        <v>279</v>
      </c>
      <c r="B42" s="700"/>
      <c r="C42" s="700"/>
      <c r="D42" s="700"/>
      <c r="E42" s="297"/>
      <c r="F42" s="701"/>
      <c r="G42" s="701"/>
      <c r="H42" s="701"/>
      <c r="I42" s="300"/>
      <c r="J42" s="701"/>
      <c r="K42" s="701"/>
      <c r="L42" s="701"/>
      <c r="M42" s="300"/>
    </row>
    <row r="43" spans="1:14" ht="15.75" x14ac:dyDescent="0.25">
      <c r="A43" s="163"/>
      <c r="B43" s="301"/>
      <c r="C43" s="301"/>
      <c r="D43" s="301"/>
      <c r="E43" s="301"/>
      <c r="F43" s="300"/>
      <c r="G43" s="300"/>
      <c r="H43" s="300"/>
      <c r="I43" s="300"/>
      <c r="J43" s="300"/>
      <c r="K43" s="300"/>
      <c r="L43" s="300"/>
      <c r="M43" s="300"/>
    </row>
    <row r="44" spans="1:14" ht="15.75" x14ac:dyDescent="0.25">
      <c r="A44" s="245"/>
      <c r="B44" s="696" t="s">
        <v>0</v>
      </c>
      <c r="C44" s="697"/>
      <c r="D44" s="697"/>
      <c r="E44" s="241"/>
      <c r="F44" s="300"/>
      <c r="G44" s="300"/>
      <c r="H44" s="300"/>
      <c r="I44" s="300"/>
      <c r="J44" s="300"/>
      <c r="K44" s="300"/>
      <c r="L44" s="300"/>
      <c r="M44" s="300"/>
    </row>
    <row r="45" spans="1:14" s="3" customFormat="1" x14ac:dyDescent="0.2">
      <c r="A45" s="140"/>
      <c r="B45" s="152" t="s">
        <v>422</v>
      </c>
      <c r="C45" s="152" t="s">
        <v>423</v>
      </c>
      <c r="D45" s="162" t="s">
        <v>3</v>
      </c>
      <c r="E45" s="162" t="s">
        <v>29</v>
      </c>
      <c r="F45" s="174"/>
      <c r="G45" s="174"/>
      <c r="H45" s="173"/>
      <c r="I45" s="173"/>
      <c r="J45" s="174"/>
      <c r="K45" s="174"/>
      <c r="L45" s="173"/>
      <c r="M45" s="173"/>
      <c r="N45" s="148"/>
    </row>
    <row r="46" spans="1:14" s="3" customFormat="1" x14ac:dyDescent="0.2">
      <c r="A46" s="666"/>
      <c r="B46" s="242"/>
      <c r="C46" s="242"/>
      <c r="D46" s="243" t="s">
        <v>4</v>
      </c>
      <c r="E46" s="156" t="s">
        <v>30</v>
      </c>
      <c r="F46" s="173"/>
      <c r="G46" s="173"/>
      <c r="H46" s="173"/>
      <c r="I46" s="173"/>
      <c r="J46" s="173"/>
      <c r="K46" s="173"/>
      <c r="L46" s="173"/>
      <c r="M46" s="173"/>
      <c r="N46" s="148"/>
    </row>
    <row r="47" spans="1:14" s="3" customFormat="1" ht="15.75" x14ac:dyDescent="0.2">
      <c r="A47" s="14" t="s">
        <v>23</v>
      </c>
      <c r="B47" s="308">
        <v>479074.44400000002</v>
      </c>
      <c r="C47" s="309">
        <v>496921.42599999998</v>
      </c>
      <c r="D47" s="370">
        <f t="shared" ref="D47:D57" si="15">IF(B47=0, "    ---- ", IF(ABS(ROUND(100/B47*C47-100,1))&lt;999,ROUND(100/B47*C47-100,1),IF(ROUND(100/B47*C47-100,1)&gt;999,999,-999)))</f>
        <v>3.7</v>
      </c>
      <c r="E47" s="11">
        <f>IFERROR(100/'Skjema total MA'!C47*C47,0)</f>
        <v>15.391688162449533</v>
      </c>
      <c r="F47" s="145"/>
      <c r="G47" s="33"/>
      <c r="H47" s="159"/>
      <c r="I47" s="159"/>
      <c r="J47" s="37"/>
      <c r="K47" s="37"/>
      <c r="L47" s="159"/>
      <c r="M47" s="159"/>
      <c r="N47" s="148"/>
    </row>
    <row r="48" spans="1:14" s="3" customFormat="1" ht="15.75" x14ac:dyDescent="0.2">
      <c r="A48" s="38" t="s">
        <v>382</v>
      </c>
      <c r="B48" s="279">
        <v>179199.29699999999</v>
      </c>
      <c r="C48" s="280">
        <v>202219.49400000001</v>
      </c>
      <c r="D48" s="252">
        <f t="shared" si="15"/>
        <v>12.8</v>
      </c>
      <c r="E48" s="27">
        <f>IFERROR(100/'Skjema total MA'!C48*C48,0)</f>
        <v>11.129192635808888</v>
      </c>
      <c r="F48" s="145"/>
      <c r="G48" s="33"/>
      <c r="H48" s="145"/>
      <c r="I48" s="145"/>
      <c r="J48" s="33"/>
      <c r="K48" s="33"/>
      <c r="L48" s="159"/>
      <c r="M48" s="159"/>
      <c r="N48" s="148"/>
    </row>
    <row r="49" spans="1:14" s="3" customFormat="1" ht="15.75" x14ac:dyDescent="0.2">
      <c r="A49" s="38" t="s">
        <v>383</v>
      </c>
      <c r="B49" s="44">
        <v>299875.147</v>
      </c>
      <c r="C49" s="285">
        <v>294701.93199999997</v>
      </c>
      <c r="D49" s="252">
        <f>IF(B49=0, "    ---- ", IF(ABS(ROUND(100/B49*C49-100,1))&lt;999,ROUND(100/B49*C49-100,1),IF(ROUND(100/B49*C49-100,1)&gt;999,999,-999)))</f>
        <v>-1.7</v>
      </c>
      <c r="E49" s="27">
        <f>IFERROR(100/'Skjema total MA'!C49*C49,0)</f>
        <v>20.878834877689865</v>
      </c>
      <c r="F49" s="145"/>
      <c r="G49" s="33"/>
      <c r="H49" s="145"/>
      <c r="I49" s="145"/>
      <c r="J49" s="37"/>
      <c r="K49" s="37"/>
      <c r="L49" s="159"/>
      <c r="M49" s="159"/>
      <c r="N49" s="148"/>
    </row>
    <row r="50" spans="1:14" s="3" customFormat="1" x14ac:dyDescent="0.2">
      <c r="A50" s="294" t="s">
        <v>6</v>
      </c>
      <c r="B50" s="288" t="s">
        <v>415</v>
      </c>
      <c r="C50" s="289" t="s">
        <v>415</v>
      </c>
      <c r="D50" s="252"/>
      <c r="E50" s="23"/>
      <c r="F50" s="145"/>
      <c r="G50" s="33"/>
      <c r="H50" s="145"/>
      <c r="I50" s="145"/>
      <c r="J50" s="33"/>
      <c r="K50" s="33"/>
      <c r="L50" s="159"/>
      <c r="M50" s="159"/>
      <c r="N50" s="148"/>
    </row>
    <row r="51" spans="1:14" s="3" customFormat="1" x14ac:dyDescent="0.2">
      <c r="A51" s="294" t="s">
        <v>7</v>
      </c>
      <c r="B51" s="288" t="s">
        <v>415</v>
      </c>
      <c r="C51" s="289" t="s">
        <v>415</v>
      </c>
      <c r="D51" s="252"/>
      <c r="E51" s="23"/>
      <c r="F51" s="145"/>
      <c r="G51" s="33"/>
      <c r="H51" s="145"/>
      <c r="I51" s="145"/>
      <c r="J51" s="33"/>
      <c r="K51" s="33"/>
      <c r="L51" s="159"/>
      <c r="M51" s="159"/>
      <c r="N51" s="148"/>
    </row>
    <row r="52" spans="1:14" s="3" customFormat="1" x14ac:dyDescent="0.2">
      <c r="A52" s="294" t="s">
        <v>8</v>
      </c>
      <c r="B52" s="288" t="s">
        <v>415</v>
      </c>
      <c r="C52" s="289" t="s">
        <v>415</v>
      </c>
      <c r="D52" s="252"/>
      <c r="E52" s="23"/>
      <c r="F52" s="145"/>
      <c r="G52" s="33"/>
      <c r="H52" s="145"/>
      <c r="I52" s="145"/>
      <c r="J52" s="33"/>
      <c r="K52" s="33"/>
      <c r="L52" s="159"/>
      <c r="M52" s="159"/>
      <c r="N52" s="148"/>
    </row>
    <row r="53" spans="1:14" s="3" customFormat="1" ht="15.75" x14ac:dyDescent="0.2">
      <c r="A53" s="39" t="s">
        <v>384</v>
      </c>
      <c r="B53" s="308">
        <v>1587.5719999999999</v>
      </c>
      <c r="C53" s="309">
        <v>7019.7160000000003</v>
      </c>
      <c r="D53" s="371">
        <f t="shared" si="15"/>
        <v>342.2</v>
      </c>
      <c r="E53" s="11">
        <f>IFERROR(100/'Skjema total MA'!C53*C53,0)</f>
        <v>3.6802363449030984</v>
      </c>
      <c r="F53" s="145"/>
      <c r="G53" s="33"/>
      <c r="H53" s="145"/>
      <c r="I53" s="145"/>
      <c r="J53" s="33"/>
      <c r="K53" s="33"/>
      <c r="L53" s="159"/>
      <c r="M53" s="159"/>
      <c r="N53" s="148"/>
    </row>
    <row r="54" spans="1:14" s="3" customFormat="1" ht="15.75" x14ac:dyDescent="0.2">
      <c r="A54" s="38" t="s">
        <v>382</v>
      </c>
      <c r="B54" s="279">
        <v>1587.5719999999999</v>
      </c>
      <c r="C54" s="280">
        <v>7019.7160000000003</v>
      </c>
      <c r="D54" s="252">
        <f t="shared" si="15"/>
        <v>342.2</v>
      </c>
      <c r="E54" s="27">
        <f>IFERROR(100/'Skjema total MA'!C54*C54,0)</f>
        <v>6.7702393160385119</v>
      </c>
      <c r="F54" s="145"/>
      <c r="G54" s="33"/>
      <c r="H54" s="145"/>
      <c r="I54" s="145"/>
      <c r="J54" s="33"/>
      <c r="K54" s="33"/>
      <c r="L54" s="159"/>
      <c r="M54" s="159"/>
      <c r="N54" s="148"/>
    </row>
    <row r="55" spans="1:14" s="3" customFormat="1" ht="15.75" x14ac:dyDescent="0.2">
      <c r="A55" s="38" t="s">
        <v>383</v>
      </c>
      <c r="B55" s="279"/>
      <c r="C55" s="280"/>
      <c r="D55" s="252"/>
      <c r="E55" s="27"/>
      <c r="F55" s="145"/>
      <c r="G55" s="33"/>
      <c r="H55" s="145"/>
      <c r="I55" s="145"/>
      <c r="J55" s="33"/>
      <c r="K55" s="33"/>
      <c r="L55" s="159"/>
      <c r="M55" s="159"/>
      <c r="N55" s="148"/>
    </row>
    <row r="56" spans="1:14" s="3" customFormat="1" ht="15.75" x14ac:dyDescent="0.2">
      <c r="A56" s="39" t="s">
        <v>385</v>
      </c>
      <c r="B56" s="308">
        <v>4370.1779999999999</v>
      </c>
      <c r="C56" s="309">
        <v>5196.3689999999997</v>
      </c>
      <c r="D56" s="371">
        <f t="shared" si="15"/>
        <v>18.899999999999999</v>
      </c>
      <c r="E56" s="11">
        <f>IFERROR(100/'Skjema total MA'!C56*C56,0)</f>
        <v>3.3399226991348714</v>
      </c>
      <c r="F56" s="145"/>
      <c r="G56" s="33"/>
      <c r="H56" s="145"/>
      <c r="I56" s="145"/>
      <c r="J56" s="33"/>
      <c r="K56" s="33"/>
      <c r="L56" s="159"/>
      <c r="M56" s="159"/>
      <c r="N56" s="148"/>
    </row>
    <row r="57" spans="1:14" s="3" customFormat="1" ht="15.75" x14ac:dyDescent="0.2">
      <c r="A57" s="38" t="s">
        <v>382</v>
      </c>
      <c r="B57" s="279">
        <v>4370.1779999999999</v>
      </c>
      <c r="C57" s="280">
        <v>5196.3689999999997</v>
      </c>
      <c r="D57" s="252">
        <f t="shared" si="15"/>
        <v>18.899999999999999</v>
      </c>
      <c r="E57" s="27">
        <f>IFERROR(100/'Skjema total MA'!C57*C57,0)</f>
        <v>5.839207466804675</v>
      </c>
      <c r="F57" s="145"/>
      <c r="G57" s="33"/>
      <c r="H57" s="145"/>
      <c r="I57" s="145"/>
      <c r="J57" s="33"/>
      <c r="K57" s="33"/>
      <c r="L57" s="159"/>
      <c r="M57" s="159"/>
      <c r="N57" s="148"/>
    </row>
    <row r="58" spans="1:14" s="3" customFormat="1" ht="15.75" x14ac:dyDescent="0.2">
      <c r="A58" s="46" t="s">
        <v>383</v>
      </c>
      <c r="B58" s="281"/>
      <c r="C58" s="282"/>
      <c r="D58" s="253"/>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95"/>
      <c r="C62" s="695"/>
      <c r="D62" s="695"/>
      <c r="E62" s="297"/>
      <c r="F62" s="695"/>
      <c r="G62" s="695"/>
      <c r="H62" s="695"/>
      <c r="I62" s="297"/>
      <c r="J62" s="695"/>
      <c r="K62" s="695"/>
      <c r="L62" s="695"/>
      <c r="M62" s="297"/>
    </row>
    <row r="63" spans="1:14" x14ac:dyDescent="0.2">
      <c r="A63" s="144"/>
      <c r="B63" s="696" t="s">
        <v>0</v>
      </c>
      <c r="C63" s="697"/>
      <c r="D63" s="698"/>
      <c r="E63" s="298"/>
      <c r="F63" s="697" t="s">
        <v>1</v>
      </c>
      <c r="G63" s="697"/>
      <c r="H63" s="697"/>
      <c r="I63" s="302"/>
      <c r="J63" s="696" t="s">
        <v>2</v>
      </c>
      <c r="K63" s="697"/>
      <c r="L63" s="697"/>
      <c r="M63" s="302"/>
    </row>
    <row r="64" spans="1:14" x14ac:dyDescent="0.2">
      <c r="A64" s="140"/>
      <c r="B64" s="152" t="s">
        <v>422</v>
      </c>
      <c r="C64" s="152" t="s">
        <v>423</v>
      </c>
      <c r="D64" s="243" t="s">
        <v>3</v>
      </c>
      <c r="E64" s="303" t="s">
        <v>29</v>
      </c>
      <c r="F64" s="152" t="s">
        <v>422</v>
      </c>
      <c r="G64" s="152" t="s">
        <v>423</v>
      </c>
      <c r="H64" s="243" t="s">
        <v>3</v>
      </c>
      <c r="I64" s="303" t="s">
        <v>29</v>
      </c>
      <c r="J64" s="152" t="s">
        <v>422</v>
      </c>
      <c r="K64" s="152" t="s">
        <v>423</v>
      </c>
      <c r="L64" s="243" t="s">
        <v>3</v>
      </c>
      <c r="M64" s="162" t="s">
        <v>29</v>
      </c>
    </row>
    <row r="65" spans="1:14" x14ac:dyDescent="0.2">
      <c r="A65" s="666"/>
      <c r="B65" s="156"/>
      <c r="C65" s="156"/>
      <c r="D65" s="244" t="s">
        <v>4</v>
      </c>
      <c r="E65" s="156" t="s">
        <v>30</v>
      </c>
      <c r="F65" s="161"/>
      <c r="G65" s="161"/>
      <c r="H65" s="243" t="s">
        <v>4</v>
      </c>
      <c r="I65" s="156" t="s">
        <v>30</v>
      </c>
      <c r="J65" s="161"/>
      <c r="K65" s="205"/>
      <c r="L65" s="156" t="s">
        <v>4</v>
      </c>
      <c r="M65" s="156" t="s">
        <v>30</v>
      </c>
    </row>
    <row r="66" spans="1:14" ht="15.75" x14ac:dyDescent="0.2">
      <c r="A66" s="14" t="s">
        <v>23</v>
      </c>
      <c r="B66" s="350">
        <v>2525275.9789999998</v>
      </c>
      <c r="C66" s="350">
        <v>2437840.318</v>
      </c>
      <c r="D66" s="347">
        <f t="shared" ref="D66:D111" si="16">IF(B66=0, "    ---- ", IF(ABS(ROUND(100/B66*C66-100,1))&lt;999,ROUND(100/B66*C66-100,1),IF(ROUND(100/B66*C66-100,1)&gt;999,999,-999)))</f>
        <v>-3.5</v>
      </c>
      <c r="E66" s="11">
        <f>IFERROR(100/'Skjema total MA'!C66*C66,0)</f>
        <v>45.385610647578339</v>
      </c>
      <c r="F66" s="349">
        <v>4473948.82</v>
      </c>
      <c r="G66" s="349">
        <v>4655129.8069999991</v>
      </c>
      <c r="H66" s="347">
        <f t="shared" ref="H66:H111" si="17">IF(F66=0, "    ---- ", IF(ABS(ROUND(100/F66*G66-100,1))&lt;999,ROUND(100/F66*G66-100,1),IF(ROUND(100/F66*G66-100,1)&gt;999,999,-999)))</f>
        <v>4</v>
      </c>
      <c r="I66" s="11">
        <f>IFERROR(100/'Skjema total MA'!F66*G66,0)</f>
        <v>29.605809612088873</v>
      </c>
      <c r="J66" s="307">
        <f t="shared" ref="J66:K86" si="18">SUM(B66,F66)</f>
        <v>6999224.7990000006</v>
      </c>
      <c r="K66" s="314">
        <f t="shared" si="18"/>
        <v>7092970.1249999991</v>
      </c>
      <c r="L66" s="371">
        <f t="shared" ref="L66:L111" si="19">IF(J66=0, "    ---- ", IF(ABS(ROUND(100/J66*K66-100,1))&lt;999,ROUND(100/J66*K66-100,1),IF(ROUND(100/J66*K66-100,1)&gt;999,999,-999)))</f>
        <v>1.3</v>
      </c>
      <c r="M66" s="11">
        <f>IFERROR(100/'Skjema total MA'!I66*K66,0)</f>
        <v>33.623782818588396</v>
      </c>
    </row>
    <row r="67" spans="1:14" x14ac:dyDescent="0.2">
      <c r="A67" s="365" t="s">
        <v>9</v>
      </c>
      <c r="B67" s="44">
        <v>1963511.2949999999</v>
      </c>
      <c r="C67" s="145">
        <v>1856218.3559999999</v>
      </c>
      <c r="D67" s="166">
        <f t="shared" si="16"/>
        <v>-5.5</v>
      </c>
      <c r="E67" s="27">
        <f>IFERROR(100/'Skjema total MA'!C67*C67,0)</f>
        <v>44.470759002434434</v>
      </c>
      <c r="F67" s="232"/>
      <c r="G67" s="145"/>
      <c r="H67" s="166"/>
      <c r="I67" s="27"/>
      <c r="J67" s="285">
        <f t="shared" si="18"/>
        <v>1963511.2949999999</v>
      </c>
      <c r="K67" s="44">
        <f t="shared" si="18"/>
        <v>1856218.3559999999</v>
      </c>
      <c r="L67" s="252">
        <f t="shared" si="19"/>
        <v>-5.5</v>
      </c>
      <c r="M67" s="27">
        <f>IFERROR(100/'Skjema total MA'!I67*K67,0)</f>
        <v>44.470759002434434</v>
      </c>
    </row>
    <row r="68" spans="1:14" x14ac:dyDescent="0.2">
      <c r="A68" s="21" t="s">
        <v>10</v>
      </c>
      <c r="B68" s="290"/>
      <c r="C68" s="291"/>
      <c r="D68" s="166"/>
      <c r="E68" s="27"/>
      <c r="F68" s="290">
        <v>4382208.0530000003</v>
      </c>
      <c r="G68" s="291">
        <v>4564696.0369999995</v>
      </c>
      <c r="H68" s="166">
        <f t="shared" si="17"/>
        <v>4.2</v>
      </c>
      <c r="I68" s="27">
        <f>IFERROR(100/'Skjema total MA'!F68*G68,0)</f>
        <v>29.420828142941556</v>
      </c>
      <c r="J68" s="285">
        <f t="shared" si="18"/>
        <v>4382208.0530000003</v>
      </c>
      <c r="K68" s="44">
        <f t="shared" si="18"/>
        <v>4564696.0369999995</v>
      </c>
      <c r="L68" s="252">
        <f t="shared" si="19"/>
        <v>4.2</v>
      </c>
      <c r="M68" s="27">
        <f>IFERROR(100/'Skjema total MA'!I68*K68,0)</f>
        <v>29.207243116188046</v>
      </c>
    </row>
    <row r="69" spans="1:14" ht="15.75" x14ac:dyDescent="0.2">
      <c r="A69" s="294" t="s">
        <v>386</v>
      </c>
      <c r="B69" s="279"/>
      <c r="C69" s="279"/>
      <c r="D69" s="166"/>
      <c r="E69" s="363"/>
      <c r="F69" s="279"/>
      <c r="G69" s="279"/>
      <c r="H69" s="166"/>
      <c r="I69" s="363"/>
      <c r="J69" s="288"/>
      <c r="K69" s="288"/>
      <c r="L69" s="166"/>
      <c r="M69" s="23"/>
    </row>
    <row r="70" spans="1:14" x14ac:dyDescent="0.2">
      <c r="A70" s="294" t="s">
        <v>12</v>
      </c>
      <c r="B70" s="292"/>
      <c r="C70" s="293"/>
      <c r="D70" s="166"/>
      <c r="E70" s="363"/>
      <c r="F70" s="279"/>
      <c r="G70" s="279"/>
      <c r="H70" s="166"/>
      <c r="I70" s="363"/>
      <c r="J70" s="288"/>
      <c r="K70" s="288"/>
      <c r="L70" s="166"/>
      <c r="M70" s="23"/>
    </row>
    <row r="71" spans="1:14" x14ac:dyDescent="0.2">
      <c r="A71" s="294" t="s">
        <v>13</v>
      </c>
      <c r="B71" s="233"/>
      <c r="C71" s="287"/>
      <c r="D71" s="166"/>
      <c r="E71" s="363"/>
      <c r="F71" s="279"/>
      <c r="G71" s="279"/>
      <c r="H71" s="166"/>
      <c r="I71" s="363"/>
      <c r="J71" s="288"/>
      <c r="K71" s="288"/>
      <c r="L71" s="166"/>
      <c r="M71" s="23"/>
    </row>
    <row r="72" spans="1:14" ht="15.75" x14ac:dyDescent="0.2">
      <c r="A72" s="294" t="s">
        <v>387</v>
      </c>
      <c r="B72" s="279"/>
      <c r="C72" s="279"/>
      <c r="D72" s="166"/>
      <c r="E72" s="363"/>
      <c r="F72" s="279"/>
      <c r="G72" s="279"/>
      <c r="H72" s="166"/>
      <c r="I72" s="363"/>
      <c r="J72" s="288"/>
      <c r="K72" s="288"/>
      <c r="L72" s="166"/>
      <c r="M72" s="23"/>
    </row>
    <row r="73" spans="1:14" x14ac:dyDescent="0.2">
      <c r="A73" s="294" t="s">
        <v>12</v>
      </c>
      <c r="B73" s="233"/>
      <c r="C73" s="287"/>
      <c r="D73" s="166"/>
      <c r="E73" s="363"/>
      <c r="F73" s="279"/>
      <c r="G73" s="279"/>
      <c r="H73" s="166"/>
      <c r="I73" s="363"/>
      <c r="J73" s="288"/>
      <c r="K73" s="288"/>
      <c r="L73" s="166"/>
      <c r="M73" s="23"/>
    </row>
    <row r="74" spans="1:14" s="3" customFormat="1" x14ac:dyDescent="0.2">
      <c r="A74" s="294" t="s">
        <v>13</v>
      </c>
      <c r="B74" s="233"/>
      <c r="C74" s="287"/>
      <c r="D74" s="166"/>
      <c r="E74" s="363"/>
      <c r="F74" s="279"/>
      <c r="G74" s="279"/>
      <c r="H74" s="166"/>
      <c r="I74" s="363"/>
      <c r="J74" s="288"/>
      <c r="K74" s="288"/>
      <c r="L74" s="166"/>
      <c r="M74" s="23"/>
      <c r="N74" s="148"/>
    </row>
    <row r="75" spans="1:14" s="3" customFormat="1" x14ac:dyDescent="0.2">
      <c r="A75" s="21" t="s">
        <v>356</v>
      </c>
      <c r="B75" s="232">
        <v>40487.817999999999</v>
      </c>
      <c r="C75" s="145">
        <v>49068.51</v>
      </c>
      <c r="D75" s="166">
        <f t="shared" si="16"/>
        <v>21.2</v>
      </c>
      <c r="E75" s="27">
        <f>IFERROR(100/'Skjema total MA'!C75*C75,0)</f>
        <v>24.162930253553462</v>
      </c>
      <c r="F75" s="232">
        <v>91740.767000000007</v>
      </c>
      <c r="G75" s="145">
        <v>90433.77</v>
      </c>
      <c r="H75" s="166">
        <f t="shared" si="17"/>
        <v>-1.4</v>
      </c>
      <c r="I75" s="27">
        <f>IFERROR(100/'Skjema total MA'!F75*G75,0)</f>
        <v>43.369689366352105</v>
      </c>
      <c r="J75" s="285">
        <f t="shared" si="18"/>
        <v>132228.58500000002</v>
      </c>
      <c r="K75" s="44">
        <f t="shared" si="18"/>
        <v>139502.28</v>
      </c>
      <c r="L75" s="252">
        <f t="shared" si="19"/>
        <v>5.5</v>
      </c>
      <c r="M75" s="27">
        <f>IFERROR(100/'Skjema total MA'!I75*K75,0)</f>
        <v>33.893350934192419</v>
      </c>
      <c r="N75" s="148"/>
    </row>
    <row r="76" spans="1:14" s="3" customFormat="1" x14ac:dyDescent="0.2">
      <c r="A76" s="21" t="s">
        <v>355</v>
      </c>
      <c r="B76" s="232">
        <v>521276.86599999998</v>
      </c>
      <c r="C76" s="145">
        <v>532553.45200000005</v>
      </c>
      <c r="D76" s="166">
        <f t="shared" ref="D76" si="20">IF(B76=0, "    ---- ", IF(ABS(ROUND(100/B76*C76-100,1))&lt;999,ROUND(100/B76*C76-100,1),IF(ROUND(100/B76*C76-100,1)&gt;999,999,-999)))</f>
        <v>2.2000000000000002</v>
      </c>
      <c r="E76" s="27">
        <f>IFERROR(100/'Skjema total MA'!C77*C76,0)</f>
        <v>12.608952610395553</v>
      </c>
      <c r="F76" s="232"/>
      <c r="G76" s="145"/>
      <c r="H76" s="166"/>
      <c r="I76" s="27"/>
      <c r="J76" s="285">
        <f t="shared" ref="J76" si="21">SUM(B76,F76)</f>
        <v>521276.86599999998</v>
      </c>
      <c r="K76" s="44">
        <f t="shared" ref="K76" si="22">SUM(C76,G76)</f>
        <v>532553.45200000005</v>
      </c>
      <c r="L76" s="252">
        <f t="shared" ref="L76" si="23">IF(J76=0, "    ---- ", IF(ABS(ROUND(100/J76*K76-100,1))&lt;999,ROUND(100/J76*K76-100,1),IF(ROUND(100/J76*K76-100,1)&gt;999,999,-999)))</f>
        <v>2.2000000000000002</v>
      </c>
      <c r="M76" s="27">
        <f>IFERROR(100/'Skjema total MA'!I77*K76,0)</f>
        <v>2.6989237343218568</v>
      </c>
      <c r="N76" s="148"/>
    </row>
    <row r="77" spans="1:14" ht="15.75" x14ac:dyDescent="0.2">
      <c r="A77" s="21" t="s">
        <v>388</v>
      </c>
      <c r="B77" s="232">
        <v>1850668.2949999999</v>
      </c>
      <c r="C77" s="232">
        <v>1800119.8049999999</v>
      </c>
      <c r="D77" s="166">
        <f t="shared" si="16"/>
        <v>-2.7</v>
      </c>
      <c r="E77" s="27">
        <f>IFERROR(100/'Skjema total MA'!C77*C77,0)</f>
        <v>42.620370272765562</v>
      </c>
      <c r="F77" s="232">
        <v>4382208.0530000003</v>
      </c>
      <c r="G77" s="145">
        <v>4564696.0369999995</v>
      </c>
      <c r="H77" s="166">
        <f t="shared" si="17"/>
        <v>4.2</v>
      </c>
      <c r="I77" s="27">
        <f>IFERROR(100/'Skjema total MA'!F77*G77,0)</f>
        <v>29.433598681401705</v>
      </c>
      <c r="J77" s="285">
        <f t="shared" si="18"/>
        <v>6232876.3480000002</v>
      </c>
      <c r="K77" s="44">
        <f t="shared" si="18"/>
        <v>6364815.8419999992</v>
      </c>
      <c r="L77" s="252">
        <f t="shared" si="19"/>
        <v>2.1</v>
      </c>
      <c r="M77" s="27">
        <f>IFERROR(100/'Skjema total MA'!I77*K77,0)</f>
        <v>32.256203534216411</v>
      </c>
    </row>
    <row r="78" spans="1:14" x14ac:dyDescent="0.2">
      <c r="A78" s="21" t="s">
        <v>9</v>
      </c>
      <c r="B78" s="232">
        <v>1850668.2949999999</v>
      </c>
      <c r="C78" s="145">
        <v>1800119.8049999999</v>
      </c>
      <c r="D78" s="166">
        <f t="shared" si="16"/>
        <v>-2.7</v>
      </c>
      <c r="E78" s="27">
        <f>IFERROR(100/'Skjema total MA'!C78*C78,0)</f>
        <v>43.774713869443595</v>
      </c>
      <c r="F78" s="232"/>
      <c r="G78" s="145"/>
      <c r="H78" s="166"/>
      <c r="I78" s="27"/>
      <c r="J78" s="285">
        <f t="shared" si="18"/>
        <v>1850668.2949999999</v>
      </c>
      <c r="K78" s="44">
        <f t="shared" si="18"/>
        <v>1800119.8049999999</v>
      </c>
      <c r="L78" s="252">
        <f t="shared" si="19"/>
        <v>-2.7</v>
      </c>
      <c r="M78" s="27">
        <f>IFERROR(100/'Skjema total MA'!I78*K78,0)</f>
        <v>43.774713869443595</v>
      </c>
    </row>
    <row r="79" spans="1:14" x14ac:dyDescent="0.2">
      <c r="A79" s="21" t="s">
        <v>10</v>
      </c>
      <c r="B79" s="290"/>
      <c r="C79" s="291"/>
      <c r="D79" s="166"/>
      <c r="E79" s="27"/>
      <c r="F79" s="290">
        <v>4382208.0530000003</v>
      </c>
      <c r="G79" s="291">
        <v>4564696.0369999995</v>
      </c>
      <c r="H79" s="166">
        <f t="shared" si="17"/>
        <v>4.2</v>
      </c>
      <c r="I79" s="27">
        <f>IFERROR(100/'Skjema total MA'!F79*G79,0)</f>
        <v>29.433598681401705</v>
      </c>
      <c r="J79" s="285">
        <f t="shared" si="18"/>
        <v>4382208.0530000003</v>
      </c>
      <c r="K79" s="44">
        <f t="shared" si="18"/>
        <v>4564696.0369999995</v>
      </c>
      <c r="L79" s="252">
        <f t="shared" si="19"/>
        <v>4.2</v>
      </c>
      <c r="M79" s="27">
        <f>IFERROR(100/'Skjema total MA'!I79*K79,0)</f>
        <v>29.223722568992848</v>
      </c>
    </row>
    <row r="80" spans="1:14" ht="15.75" x14ac:dyDescent="0.2">
      <c r="A80" s="294" t="s">
        <v>386</v>
      </c>
      <c r="B80" s="279"/>
      <c r="C80" s="279"/>
      <c r="D80" s="166"/>
      <c r="E80" s="363"/>
      <c r="F80" s="279"/>
      <c r="G80" s="279"/>
      <c r="H80" s="166"/>
      <c r="I80" s="363"/>
      <c r="J80" s="288"/>
      <c r="K80" s="288"/>
      <c r="L80" s="166"/>
      <c r="M80" s="23"/>
    </row>
    <row r="81" spans="1:13" x14ac:dyDescent="0.2">
      <c r="A81" s="294" t="s">
        <v>12</v>
      </c>
      <c r="B81" s="233"/>
      <c r="C81" s="287"/>
      <c r="D81" s="166"/>
      <c r="E81" s="363"/>
      <c r="F81" s="279"/>
      <c r="G81" s="279"/>
      <c r="H81" s="166"/>
      <c r="I81" s="363"/>
      <c r="J81" s="288"/>
      <c r="K81" s="288"/>
      <c r="L81" s="166"/>
      <c r="M81" s="23"/>
    </row>
    <row r="82" spans="1:13" x14ac:dyDescent="0.2">
      <c r="A82" s="294" t="s">
        <v>13</v>
      </c>
      <c r="B82" s="233"/>
      <c r="C82" s="287"/>
      <c r="D82" s="166"/>
      <c r="E82" s="363"/>
      <c r="F82" s="279"/>
      <c r="G82" s="279"/>
      <c r="H82" s="166"/>
      <c r="I82" s="363"/>
      <c r="J82" s="288"/>
      <c r="K82" s="288"/>
      <c r="L82" s="166"/>
      <c r="M82" s="23"/>
    </row>
    <row r="83" spans="1:13" ht="15.75" x14ac:dyDescent="0.2">
      <c r="A83" s="294" t="s">
        <v>387</v>
      </c>
      <c r="B83" s="279"/>
      <c r="C83" s="279"/>
      <c r="D83" s="166"/>
      <c r="E83" s="363"/>
      <c r="F83" s="279"/>
      <c r="G83" s="279"/>
      <c r="H83" s="166"/>
      <c r="I83" s="363"/>
      <c r="J83" s="288"/>
      <c r="K83" s="288"/>
      <c r="L83" s="166"/>
      <c r="M83" s="23"/>
    </row>
    <row r="84" spans="1:13" x14ac:dyDescent="0.2">
      <c r="A84" s="294" t="s">
        <v>12</v>
      </c>
      <c r="B84" s="233"/>
      <c r="C84" s="287"/>
      <c r="D84" s="166"/>
      <c r="E84" s="363"/>
      <c r="F84" s="279"/>
      <c r="G84" s="279"/>
      <c r="H84" s="166"/>
      <c r="I84" s="363"/>
      <c r="J84" s="288"/>
      <c r="K84" s="288"/>
      <c r="L84" s="166"/>
      <c r="M84" s="23"/>
    </row>
    <row r="85" spans="1:13" x14ac:dyDescent="0.2">
      <c r="A85" s="294" t="s">
        <v>13</v>
      </c>
      <c r="B85" s="233"/>
      <c r="C85" s="287"/>
      <c r="D85" s="166"/>
      <c r="E85" s="363"/>
      <c r="F85" s="279"/>
      <c r="G85" s="279"/>
      <c r="H85" s="166"/>
      <c r="I85" s="363"/>
      <c r="J85" s="288"/>
      <c r="K85" s="288"/>
      <c r="L85" s="166"/>
      <c r="M85" s="23"/>
    </row>
    <row r="86" spans="1:13" ht="15.75" x14ac:dyDescent="0.2">
      <c r="A86" s="21" t="s">
        <v>389</v>
      </c>
      <c r="B86" s="232">
        <v>112843</v>
      </c>
      <c r="C86" s="145">
        <v>56098.550999999999</v>
      </c>
      <c r="D86" s="166">
        <f t="shared" si="16"/>
        <v>-50.3</v>
      </c>
      <c r="E86" s="27">
        <f>IFERROR(100/'Skjema total MA'!C86*C86,0)</f>
        <v>87.840172791249941</v>
      </c>
      <c r="F86" s="232"/>
      <c r="G86" s="145"/>
      <c r="H86" s="166"/>
      <c r="I86" s="27"/>
      <c r="J86" s="285">
        <f t="shared" si="18"/>
        <v>112843</v>
      </c>
      <c r="K86" s="44">
        <f t="shared" si="18"/>
        <v>56098.550999999999</v>
      </c>
      <c r="L86" s="252">
        <f t="shared" si="19"/>
        <v>-50.3</v>
      </c>
      <c r="M86" s="27">
        <f>IFERROR(100/'Skjema total MA'!I86*K86,0)</f>
        <v>79.464189348061183</v>
      </c>
    </row>
    <row r="87" spans="1:13" ht="15.75" x14ac:dyDescent="0.2">
      <c r="A87" s="13" t="s">
        <v>371</v>
      </c>
      <c r="B87" s="350">
        <v>163551658.74400002</v>
      </c>
      <c r="C87" s="350">
        <v>164054027.92600003</v>
      </c>
      <c r="D87" s="171">
        <f t="shared" si="16"/>
        <v>0.3</v>
      </c>
      <c r="E87" s="11">
        <f>IFERROR(100/'Skjema total MA'!C87*C87,0)</f>
        <v>42.077467819383294</v>
      </c>
      <c r="F87" s="349">
        <v>82600243.583000004</v>
      </c>
      <c r="G87" s="349">
        <v>92352622.905000001</v>
      </c>
      <c r="H87" s="171">
        <f t="shared" si="17"/>
        <v>11.8</v>
      </c>
      <c r="I87" s="11">
        <f>IFERROR(100/'Skjema total MA'!F87*G87,0)</f>
        <v>32.537509014466451</v>
      </c>
      <c r="J87" s="307">
        <f t="shared" ref="J87:K111" si="24">SUM(B87,F87)</f>
        <v>246151902.32700002</v>
      </c>
      <c r="K87" s="234">
        <f t="shared" si="24"/>
        <v>256406650.83100003</v>
      </c>
      <c r="L87" s="371">
        <f t="shared" si="19"/>
        <v>4.2</v>
      </c>
      <c r="M87" s="11">
        <f>IFERROR(100/'Skjema total MA'!I87*K87,0)</f>
        <v>38.058338579306735</v>
      </c>
    </row>
    <row r="88" spans="1:13" x14ac:dyDescent="0.2">
      <c r="A88" s="21" t="s">
        <v>9</v>
      </c>
      <c r="B88" s="232">
        <v>159258871.083</v>
      </c>
      <c r="C88" s="145">
        <v>159548445.76899999</v>
      </c>
      <c r="D88" s="166">
        <f t="shared" si="16"/>
        <v>0.2</v>
      </c>
      <c r="E88" s="27">
        <f>IFERROR(100/'Skjema total MA'!C88*C88,0)</f>
        <v>41.898593165685668</v>
      </c>
      <c r="F88" s="232"/>
      <c r="G88" s="145"/>
      <c r="H88" s="166"/>
      <c r="I88" s="27"/>
      <c r="J88" s="285">
        <f t="shared" si="24"/>
        <v>159258871.083</v>
      </c>
      <c r="K88" s="44">
        <f t="shared" si="24"/>
        <v>159548445.76899999</v>
      </c>
      <c r="L88" s="252">
        <f t="shared" si="19"/>
        <v>0.2</v>
      </c>
      <c r="M88" s="27">
        <f>IFERROR(100/'Skjema total MA'!I88*K88,0)</f>
        <v>41.898593165685668</v>
      </c>
    </row>
    <row r="89" spans="1:13" x14ac:dyDescent="0.2">
      <c r="A89" s="21" t="s">
        <v>10</v>
      </c>
      <c r="B89" s="232">
        <v>72265.626999999993</v>
      </c>
      <c r="C89" s="145">
        <v>48673.167000000001</v>
      </c>
      <c r="D89" s="166">
        <f t="shared" si="16"/>
        <v>-32.6</v>
      </c>
      <c r="E89" s="27">
        <f>IFERROR(100/'Skjema total MA'!C89*C89,0)</f>
        <v>1.6656183108618541</v>
      </c>
      <c r="F89" s="232">
        <v>82248162.009000003</v>
      </c>
      <c r="G89" s="145">
        <v>91849920.147</v>
      </c>
      <c r="H89" s="166">
        <f t="shared" si="17"/>
        <v>11.7</v>
      </c>
      <c r="I89" s="27">
        <f>IFERROR(100/'Skjema total MA'!F89*G89,0)</f>
        <v>32.509386458735953</v>
      </c>
      <c r="J89" s="285">
        <f t="shared" si="24"/>
        <v>82320427.636000007</v>
      </c>
      <c r="K89" s="44">
        <f t="shared" si="24"/>
        <v>91898593.313999996</v>
      </c>
      <c r="L89" s="252">
        <f t="shared" si="19"/>
        <v>11.6</v>
      </c>
      <c r="M89" s="27">
        <f>IFERROR(100/'Skjema total MA'!I89*K89,0)</f>
        <v>32.193636918692718</v>
      </c>
    </row>
    <row r="90" spans="1:13" ht="15.75" x14ac:dyDescent="0.2">
      <c r="A90" s="294" t="s">
        <v>386</v>
      </c>
      <c r="B90" s="279"/>
      <c r="C90" s="279"/>
      <c r="D90" s="166"/>
      <c r="E90" s="363"/>
      <c r="F90" s="279"/>
      <c r="G90" s="279"/>
      <c r="H90" s="166"/>
      <c r="I90" s="363"/>
      <c r="J90" s="288"/>
      <c r="K90" s="288"/>
      <c r="L90" s="166"/>
      <c r="M90" s="23"/>
    </row>
    <row r="91" spans="1:13" x14ac:dyDescent="0.2">
      <c r="A91" s="294" t="s">
        <v>12</v>
      </c>
      <c r="B91" s="233"/>
      <c r="C91" s="287"/>
      <c r="D91" s="166"/>
      <c r="E91" s="363"/>
      <c r="F91" s="279"/>
      <c r="G91" s="279"/>
      <c r="H91" s="166"/>
      <c r="I91" s="363"/>
      <c r="J91" s="288"/>
      <c r="K91" s="288"/>
      <c r="L91" s="166"/>
      <c r="M91" s="23"/>
    </row>
    <row r="92" spans="1:13" x14ac:dyDescent="0.2">
      <c r="A92" s="294" t="s">
        <v>13</v>
      </c>
      <c r="B92" s="233"/>
      <c r="C92" s="287"/>
      <c r="D92" s="166"/>
      <c r="E92" s="363"/>
      <c r="F92" s="279"/>
      <c r="G92" s="279"/>
      <c r="H92" s="166"/>
      <c r="I92" s="363"/>
      <c r="J92" s="288"/>
      <c r="K92" s="288"/>
      <c r="L92" s="166"/>
      <c r="M92" s="23"/>
    </row>
    <row r="93" spans="1:13" ht="15.75" x14ac:dyDescent="0.2">
      <c r="A93" s="294" t="s">
        <v>387</v>
      </c>
      <c r="B93" s="279"/>
      <c r="C93" s="279"/>
      <c r="D93" s="166"/>
      <c r="E93" s="363"/>
      <c r="F93" s="279"/>
      <c r="G93" s="279"/>
      <c r="H93" s="166"/>
      <c r="I93" s="363"/>
      <c r="J93" s="288"/>
      <c r="K93" s="288"/>
      <c r="L93" s="166"/>
      <c r="M93" s="23"/>
    </row>
    <row r="94" spans="1:13" x14ac:dyDescent="0.2">
      <c r="A94" s="294" t="s">
        <v>12</v>
      </c>
      <c r="B94" s="233"/>
      <c r="C94" s="287"/>
      <c r="D94" s="166"/>
      <c r="E94" s="363"/>
      <c r="F94" s="279"/>
      <c r="G94" s="279"/>
      <c r="H94" s="166"/>
      <c r="I94" s="363"/>
      <c r="J94" s="288"/>
      <c r="K94" s="288"/>
      <c r="L94" s="166"/>
      <c r="M94" s="23"/>
    </row>
    <row r="95" spans="1:13" x14ac:dyDescent="0.2">
      <c r="A95" s="294" t="s">
        <v>13</v>
      </c>
      <c r="B95" s="233"/>
      <c r="C95" s="287"/>
      <c r="D95" s="166"/>
      <c r="E95" s="363"/>
      <c r="F95" s="279"/>
      <c r="G95" s="279"/>
      <c r="H95" s="166"/>
      <c r="I95" s="363"/>
      <c r="J95" s="288"/>
      <c r="K95" s="288"/>
      <c r="L95" s="166"/>
      <c r="M95" s="23"/>
    </row>
    <row r="96" spans="1:13" x14ac:dyDescent="0.2">
      <c r="A96" s="21" t="s">
        <v>354</v>
      </c>
      <c r="B96" s="232">
        <v>163238.16</v>
      </c>
      <c r="C96" s="145">
        <v>175943.182</v>
      </c>
      <c r="D96" s="166">
        <f t="shared" si="16"/>
        <v>7.8</v>
      </c>
      <c r="E96" s="27">
        <f>IFERROR(100/'Skjema total MA'!C96*C96,0)</f>
        <v>15.700843546487892</v>
      </c>
      <c r="F96" s="232">
        <v>352081.57400000002</v>
      </c>
      <c r="G96" s="145">
        <v>502702.75799999997</v>
      </c>
      <c r="H96" s="166">
        <f t="shared" si="17"/>
        <v>42.8</v>
      </c>
      <c r="I96" s="27">
        <f>IFERROR(100/'Skjema total MA'!F96*G96,0)</f>
        <v>38.645735054793811</v>
      </c>
      <c r="J96" s="285">
        <f t="shared" si="24"/>
        <v>515319.73400000005</v>
      </c>
      <c r="K96" s="44">
        <f t="shared" si="24"/>
        <v>678645.94</v>
      </c>
      <c r="L96" s="252">
        <f t="shared" si="19"/>
        <v>31.7</v>
      </c>
      <c r="M96" s="27">
        <f>IFERROR(100/'Skjema total MA'!I96*K96,0)</f>
        <v>28.027070257068548</v>
      </c>
    </row>
    <row r="97" spans="1:13" x14ac:dyDescent="0.2">
      <c r="A97" s="21" t="s">
        <v>353</v>
      </c>
      <c r="B97" s="232">
        <v>4057283.8739999998</v>
      </c>
      <c r="C97" s="145">
        <v>4280965.8080000002</v>
      </c>
      <c r="D97" s="166">
        <f t="shared" ref="D97" si="25">IF(B97=0, "    ---- ", IF(ABS(ROUND(100/B97*C97-100,1))&lt;999,ROUND(100/B97*C97-100,1),IF(ROUND(100/B97*C97-100,1)&gt;999,999,-999)))</f>
        <v>5.5</v>
      </c>
      <c r="E97" s="27">
        <f>IFERROR(100/'Skjema total MA'!C98*C97,0)</f>
        <v>1.1296154519152282</v>
      </c>
      <c r="F97" s="232"/>
      <c r="G97" s="145"/>
      <c r="H97" s="166"/>
      <c r="I97" s="27"/>
      <c r="J97" s="285">
        <f t="shared" ref="J97" si="26">SUM(B97,F97)</f>
        <v>4057283.8739999998</v>
      </c>
      <c r="K97" s="44">
        <f t="shared" ref="K97" si="27">SUM(C97,G97)</f>
        <v>4280965.8080000002</v>
      </c>
      <c r="L97" s="252">
        <f t="shared" ref="L97" si="28">IF(J97=0, "    ---- ", IF(ABS(ROUND(100/J97*K97-100,1))&lt;999,ROUND(100/J97*K97-100,1),IF(ROUND(100/J97*K97-100,1)&gt;999,999,-999)))</f>
        <v>5.5</v>
      </c>
      <c r="M97" s="27">
        <f>IFERROR(100/'Skjema total MA'!I98*K97,0)</f>
        <v>0.6479176381524786</v>
      </c>
    </row>
    <row r="98" spans="1:13" ht="15.75" x14ac:dyDescent="0.2">
      <c r="A98" s="21" t="s">
        <v>388</v>
      </c>
      <c r="B98" s="232">
        <v>155877816.73100001</v>
      </c>
      <c r="C98" s="232">
        <v>156275460.685</v>
      </c>
      <c r="D98" s="166">
        <f t="shared" si="16"/>
        <v>0.3</v>
      </c>
      <c r="E98" s="27">
        <f>IFERROR(100/'Skjema total MA'!C98*C98,0)</f>
        <v>41.236296448585591</v>
      </c>
      <c r="F98" s="290">
        <v>82248162.009000003</v>
      </c>
      <c r="G98" s="290">
        <v>91849920.147</v>
      </c>
      <c r="H98" s="166">
        <f t="shared" si="17"/>
        <v>11.7</v>
      </c>
      <c r="I98" s="27">
        <f>IFERROR(100/'Skjema total MA'!F98*G98,0)</f>
        <v>32.599637883705114</v>
      </c>
      <c r="J98" s="285">
        <f t="shared" si="24"/>
        <v>238125978.74000001</v>
      </c>
      <c r="K98" s="44">
        <f t="shared" si="24"/>
        <v>248125380.83200002</v>
      </c>
      <c r="L98" s="252">
        <f t="shared" si="19"/>
        <v>4.2</v>
      </c>
      <c r="M98" s="27">
        <f>IFERROR(100/'Skjema total MA'!I98*K98,0)</f>
        <v>37.553397509955943</v>
      </c>
    </row>
    <row r="99" spans="1:13" x14ac:dyDescent="0.2">
      <c r="A99" s="21" t="s">
        <v>9</v>
      </c>
      <c r="B99" s="290">
        <v>155805551.104</v>
      </c>
      <c r="C99" s="291">
        <v>156226787.51800001</v>
      </c>
      <c r="D99" s="166">
        <f t="shared" si="16"/>
        <v>0.3</v>
      </c>
      <c r="E99" s="27">
        <f>IFERROR(100/'Skjema total MA'!C99*C99,0)</f>
        <v>41.543791577158622</v>
      </c>
      <c r="F99" s="232"/>
      <c r="G99" s="145"/>
      <c r="H99" s="166"/>
      <c r="I99" s="27"/>
      <c r="J99" s="285">
        <f t="shared" si="24"/>
        <v>155805551.104</v>
      </c>
      <c r="K99" s="44">
        <f t="shared" si="24"/>
        <v>156226787.51800001</v>
      </c>
      <c r="L99" s="252">
        <f t="shared" si="19"/>
        <v>0.3</v>
      </c>
      <c r="M99" s="27">
        <f>IFERROR(100/'Skjema total MA'!I99*K99,0)</f>
        <v>41.543791577158622</v>
      </c>
    </row>
    <row r="100" spans="1:13" x14ac:dyDescent="0.2">
      <c r="A100" s="21" t="s">
        <v>10</v>
      </c>
      <c r="B100" s="290">
        <v>72265.626999999993</v>
      </c>
      <c r="C100" s="291">
        <v>48673.167000000001</v>
      </c>
      <c r="D100" s="166">
        <f t="shared" si="16"/>
        <v>-32.6</v>
      </c>
      <c r="E100" s="27">
        <f>IFERROR(100/'Skjema total MA'!C100*C100,0)</f>
        <v>1.6656183108618541</v>
      </c>
      <c r="F100" s="232">
        <v>82248162.009000003</v>
      </c>
      <c r="G100" s="232">
        <v>91849920.147</v>
      </c>
      <c r="H100" s="166">
        <f t="shared" si="17"/>
        <v>11.7</v>
      </c>
      <c r="I100" s="27">
        <f>IFERROR(100/'Skjema total MA'!F100*G100,0)</f>
        <v>32.599637883705114</v>
      </c>
      <c r="J100" s="285">
        <f t="shared" si="24"/>
        <v>82320427.636000007</v>
      </c>
      <c r="K100" s="44">
        <f t="shared" si="24"/>
        <v>91898593.313999996</v>
      </c>
      <c r="L100" s="252">
        <f t="shared" si="19"/>
        <v>11.6</v>
      </c>
      <c r="M100" s="27">
        <f>IFERROR(100/'Skjema total MA'!I100*K100,0)</f>
        <v>32.282094321036304</v>
      </c>
    </row>
    <row r="101" spans="1:13" ht="15.75" x14ac:dyDescent="0.2">
      <c r="A101" s="294" t="s">
        <v>386</v>
      </c>
      <c r="B101" s="279"/>
      <c r="C101" s="279"/>
      <c r="D101" s="166"/>
      <c r="E101" s="363"/>
      <c r="F101" s="279"/>
      <c r="G101" s="279"/>
      <c r="H101" s="166"/>
      <c r="I101" s="363"/>
      <c r="J101" s="288"/>
      <c r="K101" s="288"/>
      <c r="L101" s="166"/>
      <c r="M101" s="23"/>
    </row>
    <row r="102" spans="1:13" x14ac:dyDescent="0.2">
      <c r="A102" s="294" t="s">
        <v>12</v>
      </c>
      <c r="B102" s="233"/>
      <c r="C102" s="287"/>
      <c r="D102" s="166"/>
      <c r="E102" s="363"/>
      <c r="F102" s="279"/>
      <c r="G102" s="279"/>
      <c r="H102" s="166"/>
      <c r="I102" s="363"/>
      <c r="J102" s="288"/>
      <c r="K102" s="288"/>
      <c r="L102" s="166"/>
      <c r="M102" s="23"/>
    </row>
    <row r="103" spans="1:13" x14ac:dyDescent="0.2">
      <c r="A103" s="294" t="s">
        <v>13</v>
      </c>
      <c r="B103" s="233"/>
      <c r="C103" s="287"/>
      <c r="D103" s="166"/>
      <c r="E103" s="363"/>
      <c r="F103" s="279"/>
      <c r="G103" s="279"/>
      <c r="H103" s="166"/>
      <c r="I103" s="363"/>
      <c r="J103" s="288"/>
      <c r="K103" s="288"/>
      <c r="L103" s="166"/>
      <c r="M103" s="23"/>
    </row>
    <row r="104" spans="1:13" ht="15.75" x14ac:dyDescent="0.2">
      <c r="A104" s="294" t="s">
        <v>387</v>
      </c>
      <c r="B104" s="279"/>
      <c r="C104" s="279"/>
      <c r="D104" s="166"/>
      <c r="E104" s="363"/>
      <c r="F104" s="279"/>
      <c r="G104" s="279"/>
      <c r="H104" s="166"/>
      <c r="I104" s="363"/>
      <c r="J104" s="288"/>
      <c r="K104" s="288"/>
      <c r="L104" s="166"/>
      <c r="M104" s="23"/>
    </row>
    <row r="105" spans="1:13" x14ac:dyDescent="0.2">
      <c r="A105" s="294" t="s">
        <v>12</v>
      </c>
      <c r="B105" s="233"/>
      <c r="C105" s="287"/>
      <c r="D105" s="166"/>
      <c r="E105" s="363"/>
      <c r="F105" s="279"/>
      <c r="G105" s="279"/>
      <c r="H105" s="166"/>
      <c r="I105" s="363"/>
      <c r="J105" s="288"/>
      <c r="K105" s="288"/>
      <c r="L105" s="166"/>
      <c r="M105" s="23"/>
    </row>
    <row r="106" spans="1:13" x14ac:dyDescent="0.2">
      <c r="A106" s="294" t="s">
        <v>13</v>
      </c>
      <c r="B106" s="233"/>
      <c r="C106" s="287"/>
      <c r="D106" s="166"/>
      <c r="E106" s="363"/>
      <c r="F106" s="279"/>
      <c r="G106" s="279"/>
      <c r="H106" s="166"/>
      <c r="I106" s="363"/>
      <c r="J106" s="288"/>
      <c r="K106" s="288"/>
      <c r="L106" s="166"/>
      <c r="M106" s="23"/>
    </row>
    <row r="107" spans="1:13" ht="15.75" x14ac:dyDescent="0.2">
      <c r="A107" s="21" t="s">
        <v>389</v>
      </c>
      <c r="B107" s="232">
        <v>3453319.9789999998</v>
      </c>
      <c r="C107" s="145">
        <v>3321658.2510000002</v>
      </c>
      <c r="D107" s="166">
        <f t="shared" si="16"/>
        <v>-3.8</v>
      </c>
      <c r="E107" s="27">
        <f>IFERROR(100/'Skjema total MA'!C107*C107,0)</f>
        <v>70.02704139669666</v>
      </c>
      <c r="F107" s="232"/>
      <c r="G107" s="145"/>
      <c r="H107" s="166"/>
      <c r="I107" s="27"/>
      <c r="J107" s="285">
        <f t="shared" si="24"/>
        <v>3453319.9789999998</v>
      </c>
      <c r="K107" s="44">
        <f t="shared" si="24"/>
        <v>3321658.2510000002</v>
      </c>
      <c r="L107" s="252">
        <f t="shared" si="19"/>
        <v>-3.8</v>
      </c>
      <c r="M107" s="27">
        <f>IFERROR(100/'Skjema total MA'!I107*K107,0)</f>
        <v>60.114179507814924</v>
      </c>
    </row>
    <row r="108" spans="1:13" ht="15.75" x14ac:dyDescent="0.2">
      <c r="A108" s="21" t="s">
        <v>390</v>
      </c>
      <c r="B108" s="232">
        <v>130641594.795</v>
      </c>
      <c r="C108" s="232">
        <v>133038169.986</v>
      </c>
      <c r="D108" s="166">
        <f t="shared" si="16"/>
        <v>1.8</v>
      </c>
      <c r="E108" s="27">
        <f>IFERROR(100/'Skjema total MA'!C108*C108,0)</f>
        <v>42.172088850070772</v>
      </c>
      <c r="F108" s="232">
        <v>15252710.275</v>
      </c>
      <c r="G108" s="232">
        <v>15647552.013</v>
      </c>
      <c r="H108" s="166">
        <f t="shared" si="17"/>
        <v>2.6</v>
      </c>
      <c r="I108" s="27">
        <f>IFERROR(100/'Skjema total MA'!F108*G108,0)</f>
        <v>96.31466778076053</v>
      </c>
      <c r="J108" s="285">
        <f t="shared" si="24"/>
        <v>145894305.06999999</v>
      </c>
      <c r="K108" s="44">
        <f t="shared" si="24"/>
        <v>148685721.99900001</v>
      </c>
      <c r="L108" s="252">
        <f t="shared" si="19"/>
        <v>1.9</v>
      </c>
      <c r="M108" s="27">
        <f>IFERROR(100/'Skjema total MA'!I108*K108,0)</f>
        <v>44.823839601032418</v>
      </c>
    </row>
    <row r="109" spans="1:13" ht="15.75" x14ac:dyDescent="0.2">
      <c r="A109" s="21" t="s">
        <v>391</v>
      </c>
      <c r="B109" s="232"/>
      <c r="C109" s="232"/>
      <c r="D109" s="166"/>
      <c r="E109" s="27"/>
      <c r="F109" s="232">
        <v>23609017.168000001</v>
      </c>
      <c r="G109" s="232">
        <v>27969656.160999998</v>
      </c>
      <c r="H109" s="166">
        <f t="shared" si="17"/>
        <v>18.5</v>
      </c>
      <c r="I109" s="27">
        <f>IFERROR(100/'Skjema total MA'!F109*G109,0)</f>
        <v>29.243172169553198</v>
      </c>
      <c r="J109" s="285">
        <f t="shared" si="24"/>
        <v>23609017.168000001</v>
      </c>
      <c r="K109" s="44">
        <f t="shared" si="24"/>
        <v>27969656.160999998</v>
      </c>
      <c r="L109" s="252">
        <f t="shared" si="19"/>
        <v>18.5</v>
      </c>
      <c r="M109" s="27">
        <f>IFERROR(100/'Skjema total MA'!I109*K109,0)</f>
        <v>28.938710359464551</v>
      </c>
    </row>
    <row r="110" spans="1:13" ht="15.75" x14ac:dyDescent="0.2">
      <c r="A110" s="21" t="s">
        <v>392</v>
      </c>
      <c r="B110" s="232">
        <v>23295.109</v>
      </c>
      <c r="C110" s="232">
        <v>66143.338000000003</v>
      </c>
      <c r="D110" s="166">
        <f t="shared" si="16"/>
        <v>183.9</v>
      </c>
      <c r="E110" s="27">
        <f>IFERROR(100/'Skjema total MA'!C110*C110,0)</f>
        <v>32.252038920469239</v>
      </c>
      <c r="F110" s="232"/>
      <c r="G110" s="232"/>
      <c r="H110" s="166"/>
      <c r="I110" s="27"/>
      <c r="J110" s="285">
        <f t="shared" si="24"/>
        <v>23295.109</v>
      </c>
      <c r="K110" s="44">
        <f t="shared" si="24"/>
        <v>66143.338000000003</v>
      </c>
      <c r="L110" s="252">
        <f t="shared" si="19"/>
        <v>183.9</v>
      </c>
      <c r="M110" s="27">
        <f>IFERROR(100/'Skjema total MA'!I110*K110,0)</f>
        <v>32.252038920469239</v>
      </c>
    </row>
    <row r="111" spans="1:13" ht="15.75" x14ac:dyDescent="0.2">
      <c r="A111" s="13" t="s">
        <v>372</v>
      </c>
      <c r="B111" s="306">
        <v>36197.798999999999</v>
      </c>
      <c r="C111" s="159">
        <v>52563.563000000002</v>
      </c>
      <c r="D111" s="171">
        <f t="shared" si="16"/>
        <v>45.2</v>
      </c>
      <c r="E111" s="11">
        <f>IFERROR(100/'Skjema total MA'!C111*C111,0)</f>
        <v>19.943542346720111</v>
      </c>
      <c r="F111" s="306">
        <v>765811.62400000007</v>
      </c>
      <c r="G111" s="159">
        <v>1749178.2349999999</v>
      </c>
      <c r="H111" s="171">
        <f t="shared" si="17"/>
        <v>128.4</v>
      </c>
      <c r="I111" s="11">
        <f>IFERROR(100/'Skjema total MA'!F111*G111,0)</f>
        <v>21.436426038636856</v>
      </c>
      <c r="J111" s="307">
        <f t="shared" si="24"/>
        <v>802009.42300000007</v>
      </c>
      <c r="K111" s="234">
        <f t="shared" si="24"/>
        <v>1801741.798</v>
      </c>
      <c r="L111" s="371">
        <f t="shared" si="19"/>
        <v>124.7</v>
      </c>
      <c r="M111" s="11">
        <f>IFERROR(100/'Skjema total MA'!I111*K111,0)</f>
        <v>21.389714850774933</v>
      </c>
    </row>
    <row r="112" spans="1:13" x14ac:dyDescent="0.2">
      <c r="A112" s="21" t="s">
        <v>9</v>
      </c>
      <c r="B112" s="232">
        <v>9787.2129999999997</v>
      </c>
      <c r="C112" s="145">
        <v>12206.536</v>
      </c>
      <c r="D112" s="166">
        <f t="shared" ref="D112:D125" si="29">IF(B112=0, "    ---- ", IF(ABS(ROUND(100/B112*C112-100,1))&lt;999,ROUND(100/B112*C112-100,1),IF(ROUND(100/B112*C112-100,1)&gt;999,999,-999)))</f>
        <v>24.7</v>
      </c>
      <c r="E112" s="27">
        <f>IFERROR(100/'Skjema total MA'!C112*C112,0)</f>
        <v>5.7920482243280142</v>
      </c>
      <c r="F112" s="232">
        <v>843.41600000000005</v>
      </c>
      <c r="G112" s="145">
        <v>5268.41</v>
      </c>
      <c r="H112" s="166">
        <f t="shared" ref="H112:H125" si="30">IF(F112=0, "    ---- ", IF(ABS(ROUND(100/F112*G112-100,1))&lt;999,ROUND(100/F112*G112-100,1),IF(ROUND(100/F112*G112-100,1)&gt;999,999,-999)))</f>
        <v>524.70000000000005</v>
      </c>
      <c r="I112" s="27">
        <f>IFERROR(100/'Skjema total MA'!F112*G112,0)</f>
        <v>100</v>
      </c>
      <c r="J112" s="285">
        <f t="shared" ref="J112:K125" si="31">SUM(B112,F112)</f>
        <v>10630.628999999999</v>
      </c>
      <c r="K112" s="44">
        <f t="shared" si="31"/>
        <v>17474.946</v>
      </c>
      <c r="L112" s="252">
        <f t="shared" ref="L112:L125" si="32">IF(J112=0, "    ---- ", IF(ABS(ROUND(100/J112*K112-100,1))&lt;999,ROUND(100/J112*K112-100,1),IF(ROUND(100/J112*K112-100,1)&gt;999,999,-999)))</f>
        <v>64.400000000000006</v>
      </c>
      <c r="M112" s="27">
        <f>IFERROR(100/'Skjema total MA'!I112*K112,0)</f>
        <v>8.0896962463754623</v>
      </c>
    </row>
    <row r="113" spans="1:14" x14ac:dyDescent="0.2">
      <c r="A113" s="21" t="s">
        <v>10</v>
      </c>
      <c r="B113" s="232"/>
      <c r="C113" s="145"/>
      <c r="D113" s="166"/>
      <c r="E113" s="27"/>
      <c r="F113" s="232">
        <v>725753.77300000004</v>
      </c>
      <c r="G113" s="145">
        <v>1743909.825</v>
      </c>
      <c r="H113" s="166">
        <f t="shared" si="30"/>
        <v>140.30000000000001</v>
      </c>
      <c r="I113" s="27">
        <f>IFERROR(100/'Skjema total MA'!F113*G113,0)</f>
        <v>21.456776910008628</v>
      </c>
      <c r="J113" s="285">
        <f t="shared" si="31"/>
        <v>725753.77300000004</v>
      </c>
      <c r="K113" s="44">
        <f t="shared" si="31"/>
        <v>1743909.825</v>
      </c>
      <c r="L113" s="252">
        <f t="shared" si="32"/>
        <v>140.30000000000001</v>
      </c>
      <c r="M113" s="27">
        <f>IFERROR(100/'Skjema total MA'!I113*K113,0)</f>
        <v>21.454151511872762</v>
      </c>
    </row>
    <row r="114" spans="1:14" x14ac:dyDescent="0.2">
      <c r="A114" s="21" t="s">
        <v>26</v>
      </c>
      <c r="B114" s="232">
        <v>26410.585999999999</v>
      </c>
      <c r="C114" s="145">
        <v>40357.027000000002</v>
      </c>
      <c r="D114" s="166">
        <f t="shared" si="29"/>
        <v>52.8</v>
      </c>
      <c r="E114" s="27">
        <f>IFERROR(100/'Skjema total MA'!C114*C114,0)</f>
        <v>77.87807559287846</v>
      </c>
      <c r="F114" s="232">
        <v>39214.434999999998</v>
      </c>
      <c r="G114" s="145">
        <v>0</v>
      </c>
      <c r="H114" s="166">
        <f t="shared" si="30"/>
        <v>-100</v>
      </c>
      <c r="I114" s="27">
        <f>IFERROR(100/'Skjema total MA'!F114*G114,0)</f>
        <v>0</v>
      </c>
      <c r="J114" s="285">
        <f t="shared" si="31"/>
        <v>65625.020999999993</v>
      </c>
      <c r="K114" s="44">
        <f t="shared" si="31"/>
        <v>40357.027000000002</v>
      </c>
      <c r="L114" s="252">
        <f t="shared" si="32"/>
        <v>-38.5</v>
      </c>
      <c r="M114" s="27">
        <f>IFERROR(100/'Skjema total MA'!I114*K114,0)</f>
        <v>51.185115770655706</v>
      </c>
    </row>
    <row r="115" spans="1:14" x14ac:dyDescent="0.2">
      <c r="A115" s="294" t="s">
        <v>15</v>
      </c>
      <c r="B115" s="279"/>
      <c r="C115" s="279"/>
      <c r="D115" s="166"/>
      <c r="E115" s="363"/>
      <c r="F115" s="279"/>
      <c r="G115" s="279"/>
      <c r="H115" s="166"/>
      <c r="I115" s="363"/>
      <c r="J115" s="288"/>
      <c r="K115" s="288"/>
      <c r="L115" s="166"/>
      <c r="M115" s="23"/>
    </row>
    <row r="116" spans="1:14" ht="15.75" x14ac:dyDescent="0.2">
      <c r="A116" s="21" t="s">
        <v>393</v>
      </c>
      <c r="B116" s="232">
        <v>22462.161</v>
      </c>
      <c r="C116" s="232">
        <v>13017.806</v>
      </c>
      <c r="D116" s="166">
        <f t="shared" si="29"/>
        <v>-42</v>
      </c>
      <c r="E116" s="27">
        <f>IFERROR(100/'Skjema total MA'!C116*C116,0)</f>
        <v>18.244349135280487</v>
      </c>
      <c r="F116" s="232">
        <v>843.41600000000005</v>
      </c>
      <c r="G116" s="232">
        <v>5268.41</v>
      </c>
      <c r="H116" s="166">
        <f t="shared" si="30"/>
        <v>524.70000000000005</v>
      </c>
      <c r="I116" s="27">
        <f>IFERROR(100/'Skjema total MA'!F116*G116,0)</f>
        <v>100</v>
      </c>
      <c r="J116" s="285">
        <f t="shared" si="31"/>
        <v>23305.577000000001</v>
      </c>
      <c r="K116" s="44">
        <f t="shared" si="31"/>
        <v>18286.216</v>
      </c>
      <c r="L116" s="252">
        <f t="shared" si="32"/>
        <v>-21.5</v>
      </c>
      <c r="M116" s="27">
        <f>IFERROR(100/'Skjema total MA'!I116*K116,0)</f>
        <v>23.865818255994078</v>
      </c>
    </row>
    <row r="117" spans="1:14" ht="15.75" x14ac:dyDescent="0.2">
      <c r="A117" s="21" t="s">
        <v>394</v>
      </c>
      <c r="B117" s="232"/>
      <c r="C117" s="232"/>
      <c r="D117" s="166"/>
      <c r="E117" s="27"/>
      <c r="F117" s="232">
        <v>333167.598</v>
      </c>
      <c r="G117" s="232">
        <v>615481.51</v>
      </c>
      <c r="H117" s="166">
        <f t="shared" si="30"/>
        <v>84.7</v>
      </c>
      <c r="I117" s="27">
        <f>IFERROR(100/'Skjema total MA'!F117*G117,0)</f>
        <v>38.071946860811209</v>
      </c>
      <c r="J117" s="285">
        <f t="shared" si="31"/>
        <v>333167.598</v>
      </c>
      <c r="K117" s="44">
        <f t="shared" si="31"/>
        <v>615481.51</v>
      </c>
      <c r="L117" s="252">
        <f t="shared" si="32"/>
        <v>84.7</v>
      </c>
      <c r="M117" s="27">
        <f>IFERROR(100/'Skjema total MA'!I117*K117,0)</f>
        <v>38.071946860811209</v>
      </c>
    </row>
    <row r="118" spans="1:14" ht="15.75" x14ac:dyDescent="0.2">
      <c r="A118" s="21" t="s">
        <v>392</v>
      </c>
      <c r="B118" s="232"/>
      <c r="C118" s="232"/>
      <c r="D118" s="166"/>
      <c r="E118" s="27"/>
      <c r="F118" s="232"/>
      <c r="G118" s="232"/>
      <c r="H118" s="166"/>
      <c r="I118" s="27"/>
      <c r="J118" s="285"/>
      <c r="K118" s="44"/>
      <c r="L118" s="252"/>
      <c r="M118" s="27"/>
    </row>
    <row r="119" spans="1:14" ht="15.75" x14ac:dyDescent="0.2">
      <c r="A119" s="13" t="s">
        <v>373</v>
      </c>
      <c r="B119" s="306">
        <v>81893.516000000003</v>
      </c>
      <c r="C119" s="159">
        <v>138372.53899999999</v>
      </c>
      <c r="D119" s="171">
        <f t="shared" si="29"/>
        <v>69</v>
      </c>
      <c r="E119" s="11">
        <f>IFERROR(100/'Skjema total MA'!C119*C119,0)</f>
        <v>49.431326540069065</v>
      </c>
      <c r="F119" s="306">
        <v>1500536.044</v>
      </c>
      <c r="G119" s="159">
        <v>2931717.503</v>
      </c>
      <c r="H119" s="171">
        <f t="shared" si="30"/>
        <v>95.4</v>
      </c>
      <c r="I119" s="11">
        <f>IFERROR(100/'Skjema total MA'!F119*G119,0)</f>
        <v>36.202891497787355</v>
      </c>
      <c r="J119" s="307">
        <f t="shared" si="31"/>
        <v>1582429.56</v>
      </c>
      <c r="K119" s="234">
        <f t="shared" si="31"/>
        <v>3070090.0419999999</v>
      </c>
      <c r="L119" s="371">
        <f t="shared" si="32"/>
        <v>94</v>
      </c>
      <c r="M119" s="11">
        <f>IFERROR(100/'Skjema total MA'!I119*K119,0)</f>
        <v>36.644887553700308</v>
      </c>
    </row>
    <row r="120" spans="1:14" x14ac:dyDescent="0.2">
      <c r="A120" s="21" t="s">
        <v>9</v>
      </c>
      <c r="B120" s="232">
        <v>9787.2129999999997</v>
      </c>
      <c r="C120" s="145">
        <v>34018.675000000003</v>
      </c>
      <c r="D120" s="166">
        <f t="shared" si="29"/>
        <v>247.6</v>
      </c>
      <c r="E120" s="27">
        <f>IFERROR(100/'Skjema total MA'!C120*C120,0)</f>
        <v>22.988095444585721</v>
      </c>
      <c r="F120" s="232"/>
      <c r="G120" s="145"/>
      <c r="H120" s="166"/>
      <c r="I120" s="27"/>
      <c r="J120" s="285">
        <f t="shared" si="31"/>
        <v>9787.2129999999997</v>
      </c>
      <c r="K120" s="44">
        <f t="shared" si="31"/>
        <v>34018.675000000003</v>
      </c>
      <c r="L120" s="252">
        <f t="shared" si="32"/>
        <v>247.6</v>
      </c>
      <c r="M120" s="27">
        <f>IFERROR(100/'Skjema total MA'!I120*K120,0)</f>
        <v>22.988095444585721</v>
      </c>
    </row>
    <row r="121" spans="1:14" x14ac:dyDescent="0.2">
      <c r="A121" s="21" t="s">
        <v>10</v>
      </c>
      <c r="B121" s="232"/>
      <c r="C121" s="145"/>
      <c r="D121" s="166"/>
      <c r="E121" s="27"/>
      <c r="F121" s="232">
        <v>1500536.044</v>
      </c>
      <c r="G121" s="145">
        <v>2931717.503</v>
      </c>
      <c r="H121" s="166">
        <f t="shared" si="30"/>
        <v>95.4</v>
      </c>
      <c r="I121" s="27">
        <f>IFERROR(100/'Skjema total MA'!F121*G121,0)</f>
        <v>36.202891497787355</v>
      </c>
      <c r="J121" s="285">
        <f t="shared" si="31"/>
        <v>1500536.044</v>
      </c>
      <c r="K121" s="44">
        <f t="shared" si="31"/>
        <v>2931717.503</v>
      </c>
      <c r="L121" s="252">
        <f t="shared" si="32"/>
        <v>95.4</v>
      </c>
      <c r="M121" s="27">
        <f>IFERROR(100/'Skjema total MA'!I121*K121,0)</f>
        <v>36.107046836749355</v>
      </c>
    </row>
    <row r="122" spans="1:14" x14ac:dyDescent="0.2">
      <c r="A122" s="21" t="s">
        <v>26</v>
      </c>
      <c r="B122" s="232">
        <v>72106.303</v>
      </c>
      <c r="C122" s="145">
        <v>104353.864</v>
      </c>
      <c r="D122" s="166">
        <f t="shared" si="29"/>
        <v>44.7</v>
      </c>
      <c r="E122" s="27">
        <f>IFERROR(100/'Skjema total MA'!C122*C122,0)</f>
        <v>94.481404783371815</v>
      </c>
      <c r="F122" s="232"/>
      <c r="G122" s="145"/>
      <c r="H122" s="166"/>
      <c r="I122" s="27"/>
      <c r="J122" s="285">
        <f t="shared" si="31"/>
        <v>72106.303</v>
      </c>
      <c r="K122" s="44">
        <f t="shared" si="31"/>
        <v>104353.864</v>
      </c>
      <c r="L122" s="252">
        <f t="shared" si="32"/>
        <v>44.7</v>
      </c>
      <c r="M122" s="27">
        <f>IFERROR(100/'Skjema total MA'!I122*K122,0)</f>
        <v>94.481404783371815</v>
      </c>
    </row>
    <row r="123" spans="1:14" x14ac:dyDescent="0.2">
      <c r="A123" s="294" t="s">
        <v>14</v>
      </c>
      <c r="B123" s="279" t="s">
        <v>415</v>
      </c>
      <c r="C123" s="279" t="s">
        <v>415</v>
      </c>
      <c r="D123" s="166"/>
      <c r="E123" s="363"/>
      <c r="F123" s="279"/>
      <c r="G123" s="279"/>
      <c r="H123" s="166"/>
      <c r="I123" s="363"/>
      <c r="J123" s="288"/>
      <c r="K123" s="288"/>
      <c r="L123" s="166"/>
      <c r="M123" s="23"/>
    </row>
    <row r="124" spans="1:14" ht="15.75" x14ac:dyDescent="0.2">
      <c r="A124" s="21" t="s">
        <v>399</v>
      </c>
      <c r="B124" s="232">
        <v>5037.1400000000003</v>
      </c>
      <c r="C124" s="232">
        <v>2512.2869999999998</v>
      </c>
      <c r="D124" s="166">
        <f t="shared" si="29"/>
        <v>-50.1</v>
      </c>
      <c r="E124" s="27">
        <f>IFERROR(100/'Skjema total MA'!C124*C124,0)</f>
        <v>6.743309435968377</v>
      </c>
      <c r="F124" s="232">
        <v>14807.662</v>
      </c>
      <c r="G124" s="232">
        <v>12316.657999999999</v>
      </c>
      <c r="H124" s="166">
        <f t="shared" si="30"/>
        <v>-16.8</v>
      </c>
      <c r="I124" s="27">
        <f>IFERROR(100/'Skjema total MA'!F124*G124,0)</f>
        <v>84.29583272592383</v>
      </c>
      <c r="J124" s="285">
        <f t="shared" si="31"/>
        <v>19844.802</v>
      </c>
      <c r="K124" s="44">
        <f t="shared" si="31"/>
        <v>14828.945</v>
      </c>
      <c r="L124" s="252">
        <f t="shared" si="32"/>
        <v>-25.3</v>
      </c>
      <c r="M124" s="27">
        <f>IFERROR(100/'Skjema total MA'!I124*K124,0)</f>
        <v>28.590203373135534</v>
      </c>
    </row>
    <row r="125" spans="1:14" ht="15.75" x14ac:dyDescent="0.2">
      <c r="A125" s="21" t="s">
        <v>391</v>
      </c>
      <c r="B125" s="232">
        <v>4.6989999999999998</v>
      </c>
      <c r="C125" s="232">
        <v>5.1120000000000001</v>
      </c>
      <c r="D125" s="166">
        <f t="shared" si="29"/>
        <v>8.8000000000000007</v>
      </c>
      <c r="E125" s="27">
        <f>IFERROR(100/'Skjema total MA'!C125*C125,0)</f>
        <v>0.22471516561507704</v>
      </c>
      <c r="F125" s="232">
        <v>235848.87899999999</v>
      </c>
      <c r="G125" s="232">
        <v>316320.70500000002</v>
      </c>
      <c r="H125" s="166">
        <f t="shared" si="30"/>
        <v>34.1</v>
      </c>
      <c r="I125" s="27">
        <f>IFERROR(100/'Skjema total MA'!F125*G125,0)</f>
        <v>18.722778894418411</v>
      </c>
      <c r="J125" s="285">
        <f t="shared" si="31"/>
        <v>235853.57799999998</v>
      </c>
      <c r="K125" s="44">
        <f t="shared" si="31"/>
        <v>316325.81700000004</v>
      </c>
      <c r="L125" s="252">
        <f t="shared" si="32"/>
        <v>34.1</v>
      </c>
      <c r="M125" s="27">
        <f>IFERROR(100/'Skjema total MA'!I125*K125,0)</f>
        <v>18.697905042482962</v>
      </c>
    </row>
    <row r="126" spans="1:14" ht="15.75" x14ac:dyDescent="0.2">
      <c r="A126" s="10" t="s">
        <v>392</v>
      </c>
      <c r="B126" s="45"/>
      <c r="C126" s="45"/>
      <c r="D126" s="167"/>
      <c r="E126" s="364"/>
      <c r="F126" s="45"/>
      <c r="G126" s="45"/>
      <c r="H126" s="167"/>
      <c r="I126" s="22"/>
      <c r="J126" s="286"/>
      <c r="K126" s="45"/>
      <c r="L126" s="253"/>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95"/>
      <c r="C130" s="695"/>
      <c r="D130" s="695"/>
      <c r="E130" s="297"/>
      <c r="F130" s="695"/>
      <c r="G130" s="695"/>
      <c r="H130" s="695"/>
      <c r="I130" s="297"/>
      <c r="J130" s="695"/>
      <c r="K130" s="695"/>
      <c r="L130" s="695"/>
      <c r="M130" s="297"/>
    </row>
    <row r="131" spans="1:14" s="3" customFormat="1" x14ac:dyDescent="0.2">
      <c r="A131" s="144"/>
      <c r="B131" s="696" t="s">
        <v>0</v>
      </c>
      <c r="C131" s="697"/>
      <c r="D131" s="697"/>
      <c r="E131" s="299"/>
      <c r="F131" s="696" t="s">
        <v>1</v>
      </c>
      <c r="G131" s="697"/>
      <c r="H131" s="697"/>
      <c r="I131" s="302"/>
      <c r="J131" s="696" t="s">
        <v>2</v>
      </c>
      <c r="K131" s="697"/>
      <c r="L131" s="697"/>
      <c r="M131" s="302"/>
      <c r="N131" s="148"/>
    </row>
    <row r="132" spans="1:14" s="3" customFormat="1" x14ac:dyDescent="0.2">
      <c r="A132" s="140"/>
      <c r="B132" s="152" t="s">
        <v>422</v>
      </c>
      <c r="C132" s="152" t="s">
        <v>423</v>
      </c>
      <c r="D132" s="243" t="s">
        <v>3</v>
      </c>
      <c r="E132" s="303" t="s">
        <v>29</v>
      </c>
      <c r="F132" s="152" t="s">
        <v>422</v>
      </c>
      <c r="G132" s="152" t="s">
        <v>423</v>
      </c>
      <c r="H132" s="205" t="s">
        <v>3</v>
      </c>
      <c r="I132" s="162" t="s">
        <v>29</v>
      </c>
      <c r="J132" s="152" t="s">
        <v>422</v>
      </c>
      <c r="K132" s="152" t="s">
        <v>423</v>
      </c>
      <c r="L132" s="244" t="s">
        <v>3</v>
      </c>
      <c r="M132" s="162" t="s">
        <v>29</v>
      </c>
      <c r="N132" s="148"/>
    </row>
    <row r="133" spans="1:14" s="3" customFormat="1" x14ac:dyDescent="0.2">
      <c r="A133" s="666"/>
      <c r="B133" s="156"/>
      <c r="C133" s="156"/>
      <c r="D133" s="244" t="s">
        <v>4</v>
      </c>
      <c r="E133" s="156" t="s">
        <v>30</v>
      </c>
      <c r="F133" s="161"/>
      <c r="G133" s="161"/>
      <c r="H133" s="205" t="s">
        <v>4</v>
      </c>
      <c r="I133" s="156" t="s">
        <v>30</v>
      </c>
      <c r="J133" s="156"/>
      <c r="K133" s="156"/>
      <c r="L133" s="150" t="s">
        <v>4</v>
      </c>
      <c r="M133" s="156" t="s">
        <v>30</v>
      </c>
      <c r="N133" s="148"/>
    </row>
    <row r="134" spans="1:14" s="3" customFormat="1" ht="15.75" x14ac:dyDescent="0.2">
      <c r="A134" s="14" t="s">
        <v>395</v>
      </c>
      <c r="B134" s="234">
        <v>170145.63</v>
      </c>
      <c r="C134" s="307">
        <v>142532.42300000001</v>
      </c>
      <c r="D134" s="347">
        <f t="shared" ref="D134:D135" si="33">IF(B134=0, "    ---- ", IF(ABS(ROUND(100/B134*C134-100,1))&lt;999,ROUND(100/B134*C134-100,1),IF(ROUND(100/B134*C134-100,1)&gt;999,999,-999)))</f>
        <v>-16.2</v>
      </c>
      <c r="E134" s="11">
        <f>IFERROR(100/'Skjema total MA'!C134*C134,0)</f>
        <v>0.60202050280601227</v>
      </c>
      <c r="F134" s="314"/>
      <c r="G134" s="315"/>
      <c r="H134" s="374"/>
      <c r="I134" s="24"/>
      <c r="J134" s="316">
        <f t="shared" ref="J134:K135" si="34">SUM(B134,F134)</f>
        <v>170145.63</v>
      </c>
      <c r="K134" s="316">
        <f t="shared" si="34"/>
        <v>142532.42300000001</v>
      </c>
      <c r="L134" s="370">
        <f t="shared" ref="L134:L135" si="35">IF(J134=0, "    ---- ", IF(ABS(ROUND(100/J134*K134-100,1))&lt;999,ROUND(100/J134*K134-100,1),IF(ROUND(100/J134*K134-100,1)&gt;999,999,-999)))</f>
        <v>-16.2</v>
      </c>
      <c r="M134" s="11">
        <f>IFERROR(100/'Skjema total MA'!I134*K134,0)</f>
        <v>0.59976261388422147</v>
      </c>
      <c r="N134" s="148"/>
    </row>
    <row r="135" spans="1:14" s="3" customFormat="1" ht="15.75" x14ac:dyDescent="0.2">
      <c r="A135" s="13" t="s">
        <v>400</v>
      </c>
      <c r="B135" s="234">
        <v>2880856.1540000001</v>
      </c>
      <c r="C135" s="307">
        <v>2826737.9410000001</v>
      </c>
      <c r="D135" s="171">
        <f t="shared" si="33"/>
        <v>-1.9</v>
      </c>
      <c r="E135" s="11">
        <f>IFERROR(100/'Skjema total MA'!C135*C135,0)</f>
        <v>0.49561736154615488</v>
      </c>
      <c r="F135" s="234"/>
      <c r="G135" s="307"/>
      <c r="H135" s="375"/>
      <c r="I135" s="24"/>
      <c r="J135" s="306">
        <f t="shared" si="34"/>
        <v>2880856.1540000001</v>
      </c>
      <c r="K135" s="306">
        <f t="shared" si="34"/>
        <v>2826737.9410000001</v>
      </c>
      <c r="L135" s="371">
        <f t="shared" si="35"/>
        <v>-1.9</v>
      </c>
      <c r="M135" s="11">
        <f>IFERROR(100/'Skjema total MA'!I135*K135,0)</f>
        <v>0.49337928417345678</v>
      </c>
      <c r="N135" s="148"/>
    </row>
    <row r="136" spans="1:14" s="3" customFormat="1" ht="15.75" x14ac:dyDescent="0.2">
      <c r="A136" s="13" t="s">
        <v>397</v>
      </c>
      <c r="B136" s="234"/>
      <c r="C136" s="307"/>
      <c r="D136" s="171"/>
      <c r="E136" s="11"/>
      <c r="F136" s="234"/>
      <c r="G136" s="307"/>
      <c r="H136" s="375"/>
      <c r="I136" s="24"/>
      <c r="J136" s="306"/>
      <c r="K136" s="306"/>
      <c r="L136" s="371"/>
      <c r="M136" s="11"/>
      <c r="N136" s="148"/>
    </row>
    <row r="137" spans="1:14" s="3" customFormat="1" ht="15.75" x14ac:dyDescent="0.2">
      <c r="A137" s="41" t="s">
        <v>398</v>
      </c>
      <c r="B137" s="274"/>
      <c r="C137" s="313"/>
      <c r="D137" s="169"/>
      <c r="E137" s="9"/>
      <c r="F137" s="274"/>
      <c r="G137" s="313"/>
      <c r="H137" s="376"/>
      <c r="I137" s="36"/>
      <c r="J137" s="312"/>
      <c r="K137" s="312"/>
      <c r="L137" s="372"/>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396" priority="132">
      <formula>kvartal &lt; 4</formula>
    </cfRule>
  </conditionalFormatting>
  <conditionalFormatting sqref="B69">
    <cfRule type="expression" dxfId="395" priority="100">
      <formula>kvartal &lt; 4</formula>
    </cfRule>
  </conditionalFormatting>
  <conditionalFormatting sqref="C69">
    <cfRule type="expression" dxfId="394" priority="99">
      <formula>kvartal &lt; 4</formula>
    </cfRule>
  </conditionalFormatting>
  <conditionalFormatting sqref="B72">
    <cfRule type="expression" dxfId="393" priority="98">
      <formula>kvartal &lt; 4</formula>
    </cfRule>
  </conditionalFormatting>
  <conditionalFormatting sqref="C72">
    <cfRule type="expression" dxfId="392" priority="97">
      <formula>kvartal &lt; 4</formula>
    </cfRule>
  </conditionalFormatting>
  <conditionalFormatting sqref="B80">
    <cfRule type="expression" dxfId="391" priority="96">
      <formula>kvartal &lt; 4</formula>
    </cfRule>
  </conditionalFormatting>
  <conditionalFormatting sqref="C80">
    <cfRule type="expression" dxfId="390" priority="95">
      <formula>kvartal &lt; 4</formula>
    </cfRule>
  </conditionalFormatting>
  <conditionalFormatting sqref="B83">
    <cfRule type="expression" dxfId="389" priority="94">
      <formula>kvartal &lt; 4</formula>
    </cfRule>
  </conditionalFormatting>
  <conditionalFormatting sqref="C83">
    <cfRule type="expression" dxfId="388" priority="93">
      <formula>kvartal &lt; 4</formula>
    </cfRule>
  </conditionalFormatting>
  <conditionalFormatting sqref="B90">
    <cfRule type="expression" dxfId="387" priority="84">
      <formula>kvartal &lt; 4</formula>
    </cfRule>
  </conditionalFormatting>
  <conditionalFormatting sqref="C90">
    <cfRule type="expression" dxfId="386" priority="83">
      <formula>kvartal &lt; 4</formula>
    </cfRule>
  </conditionalFormatting>
  <conditionalFormatting sqref="B93">
    <cfRule type="expression" dxfId="385" priority="82">
      <formula>kvartal &lt; 4</formula>
    </cfRule>
  </conditionalFormatting>
  <conditionalFormatting sqref="C93">
    <cfRule type="expression" dxfId="384" priority="81">
      <formula>kvartal &lt; 4</formula>
    </cfRule>
  </conditionalFormatting>
  <conditionalFormatting sqref="B101">
    <cfRule type="expression" dxfId="383" priority="80">
      <formula>kvartal &lt; 4</formula>
    </cfRule>
  </conditionalFormatting>
  <conditionalFormatting sqref="C101">
    <cfRule type="expression" dxfId="382" priority="79">
      <formula>kvartal &lt; 4</formula>
    </cfRule>
  </conditionalFormatting>
  <conditionalFormatting sqref="B104">
    <cfRule type="expression" dxfId="381" priority="78">
      <formula>kvartal &lt; 4</formula>
    </cfRule>
  </conditionalFormatting>
  <conditionalFormatting sqref="C104">
    <cfRule type="expression" dxfId="380" priority="77">
      <formula>kvartal &lt; 4</formula>
    </cfRule>
  </conditionalFormatting>
  <conditionalFormatting sqref="B115">
    <cfRule type="expression" dxfId="379" priority="76">
      <formula>kvartal &lt; 4</formula>
    </cfRule>
  </conditionalFormatting>
  <conditionalFormatting sqref="C115">
    <cfRule type="expression" dxfId="378" priority="75">
      <formula>kvartal &lt; 4</formula>
    </cfRule>
  </conditionalFormatting>
  <conditionalFormatting sqref="B123">
    <cfRule type="expression" dxfId="377" priority="74">
      <formula>kvartal &lt; 4</formula>
    </cfRule>
  </conditionalFormatting>
  <conditionalFormatting sqref="C123">
    <cfRule type="expression" dxfId="376" priority="73">
      <formula>kvartal &lt; 4</formula>
    </cfRule>
  </conditionalFormatting>
  <conditionalFormatting sqref="F70">
    <cfRule type="expression" dxfId="375" priority="72">
      <formula>kvartal &lt; 4</formula>
    </cfRule>
  </conditionalFormatting>
  <conditionalFormatting sqref="G70">
    <cfRule type="expression" dxfId="374" priority="71">
      <formula>kvartal &lt; 4</formula>
    </cfRule>
  </conditionalFormatting>
  <conditionalFormatting sqref="F71:G71">
    <cfRule type="expression" dxfId="373" priority="70">
      <formula>kvartal &lt; 4</formula>
    </cfRule>
  </conditionalFormatting>
  <conditionalFormatting sqref="F73:G74">
    <cfRule type="expression" dxfId="372" priority="69">
      <formula>kvartal &lt; 4</formula>
    </cfRule>
  </conditionalFormatting>
  <conditionalFormatting sqref="F81:G82">
    <cfRule type="expression" dxfId="371" priority="68">
      <formula>kvartal &lt; 4</formula>
    </cfRule>
  </conditionalFormatting>
  <conditionalFormatting sqref="F84:G85">
    <cfRule type="expression" dxfId="370" priority="67">
      <formula>kvartal &lt; 4</formula>
    </cfRule>
  </conditionalFormatting>
  <conditionalFormatting sqref="F91:G92">
    <cfRule type="expression" dxfId="369" priority="62">
      <formula>kvartal &lt; 4</formula>
    </cfRule>
  </conditionalFormatting>
  <conditionalFormatting sqref="F94:G95">
    <cfRule type="expression" dxfId="368" priority="61">
      <formula>kvartal &lt; 4</formula>
    </cfRule>
  </conditionalFormatting>
  <conditionalFormatting sqref="F102:G103">
    <cfRule type="expression" dxfId="367" priority="60">
      <formula>kvartal &lt; 4</formula>
    </cfRule>
  </conditionalFormatting>
  <conditionalFormatting sqref="F105:G106">
    <cfRule type="expression" dxfId="366" priority="59">
      <formula>kvartal &lt; 4</formula>
    </cfRule>
  </conditionalFormatting>
  <conditionalFormatting sqref="F115">
    <cfRule type="expression" dxfId="365" priority="58">
      <formula>kvartal &lt; 4</formula>
    </cfRule>
  </conditionalFormatting>
  <conditionalFormatting sqref="G115">
    <cfRule type="expression" dxfId="364" priority="57">
      <formula>kvartal &lt; 4</formula>
    </cfRule>
  </conditionalFormatting>
  <conditionalFormatting sqref="F123:G123">
    <cfRule type="expression" dxfId="363" priority="56">
      <formula>kvartal &lt; 4</formula>
    </cfRule>
  </conditionalFormatting>
  <conditionalFormatting sqref="F69:G69">
    <cfRule type="expression" dxfId="362" priority="55">
      <formula>kvartal &lt; 4</formula>
    </cfRule>
  </conditionalFormatting>
  <conditionalFormatting sqref="F72:G72">
    <cfRule type="expression" dxfId="361" priority="54">
      <formula>kvartal &lt; 4</formula>
    </cfRule>
  </conditionalFormatting>
  <conditionalFormatting sqref="F80:G80">
    <cfRule type="expression" dxfId="360" priority="53">
      <formula>kvartal &lt; 4</formula>
    </cfRule>
  </conditionalFormatting>
  <conditionalFormatting sqref="F83:G83">
    <cfRule type="expression" dxfId="359" priority="52">
      <formula>kvartal &lt; 4</formula>
    </cfRule>
  </conditionalFormatting>
  <conditionalFormatting sqref="F90:G90">
    <cfRule type="expression" dxfId="358" priority="46">
      <formula>kvartal &lt; 4</formula>
    </cfRule>
  </conditionalFormatting>
  <conditionalFormatting sqref="F93">
    <cfRule type="expression" dxfId="357" priority="45">
      <formula>kvartal &lt; 4</formula>
    </cfRule>
  </conditionalFormatting>
  <conditionalFormatting sqref="G93">
    <cfRule type="expression" dxfId="356" priority="44">
      <formula>kvartal &lt; 4</formula>
    </cfRule>
  </conditionalFormatting>
  <conditionalFormatting sqref="F101">
    <cfRule type="expression" dxfId="355" priority="43">
      <formula>kvartal &lt; 4</formula>
    </cfRule>
  </conditionalFormatting>
  <conditionalFormatting sqref="G101">
    <cfRule type="expression" dxfId="354" priority="42">
      <formula>kvartal &lt; 4</formula>
    </cfRule>
  </conditionalFormatting>
  <conditionalFormatting sqref="G104">
    <cfRule type="expression" dxfId="353" priority="41">
      <formula>kvartal &lt; 4</formula>
    </cfRule>
  </conditionalFormatting>
  <conditionalFormatting sqref="F104">
    <cfRule type="expression" dxfId="352" priority="40">
      <formula>kvartal &lt; 4</formula>
    </cfRule>
  </conditionalFormatting>
  <conditionalFormatting sqref="J69:K73">
    <cfRule type="expression" dxfId="351" priority="39">
      <formula>kvartal &lt; 4</formula>
    </cfRule>
  </conditionalFormatting>
  <conditionalFormatting sqref="J74:K74">
    <cfRule type="expression" dxfId="350" priority="38">
      <formula>kvartal &lt; 4</formula>
    </cfRule>
  </conditionalFormatting>
  <conditionalFormatting sqref="J80:K85">
    <cfRule type="expression" dxfId="349" priority="37">
      <formula>kvartal &lt; 4</formula>
    </cfRule>
  </conditionalFormatting>
  <conditionalFormatting sqref="J90:K95">
    <cfRule type="expression" dxfId="348" priority="34">
      <formula>kvartal &lt; 4</formula>
    </cfRule>
  </conditionalFormatting>
  <conditionalFormatting sqref="J101:K106">
    <cfRule type="expression" dxfId="347" priority="33">
      <formula>kvartal &lt; 4</formula>
    </cfRule>
  </conditionalFormatting>
  <conditionalFormatting sqref="J115:K115">
    <cfRule type="expression" dxfId="346" priority="32">
      <formula>kvartal &lt; 4</formula>
    </cfRule>
  </conditionalFormatting>
  <conditionalFormatting sqref="J123:K123">
    <cfRule type="expression" dxfId="345" priority="31">
      <formula>kvartal &lt; 4</formula>
    </cfRule>
  </conditionalFormatting>
  <conditionalFormatting sqref="A50:A52">
    <cfRule type="expression" dxfId="344" priority="12">
      <formula>kvartal &lt; 4</formula>
    </cfRule>
  </conditionalFormatting>
  <conditionalFormatting sqref="A69:A74">
    <cfRule type="expression" dxfId="343" priority="10">
      <formula>kvartal &lt; 4</formula>
    </cfRule>
  </conditionalFormatting>
  <conditionalFormatting sqref="A80:A85">
    <cfRule type="expression" dxfId="342" priority="9">
      <formula>kvartal &lt; 4</formula>
    </cfRule>
  </conditionalFormatting>
  <conditionalFormatting sqref="A90:A95">
    <cfRule type="expression" dxfId="341" priority="6">
      <formula>kvartal &lt; 4</formula>
    </cfRule>
  </conditionalFormatting>
  <conditionalFormatting sqref="A101:A106">
    <cfRule type="expression" dxfId="340" priority="5">
      <formula>kvartal &lt; 4</formula>
    </cfRule>
  </conditionalFormatting>
  <conditionalFormatting sqref="A115">
    <cfRule type="expression" dxfId="339" priority="4">
      <formula>kvartal &lt; 4</formula>
    </cfRule>
  </conditionalFormatting>
  <conditionalFormatting sqref="A123">
    <cfRule type="expression" dxfId="338" priority="3">
      <formula>kvartal &lt; 4</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64"/>
      <c r="C1" s="246" t="s">
        <v>138</v>
      </c>
      <c r="D1" s="26"/>
      <c r="E1" s="26"/>
      <c r="F1" s="26"/>
      <c r="G1" s="26"/>
      <c r="H1" s="26"/>
      <c r="I1" s="26"/>
      <c r="J1" s="26"/>
      <c r="K1" s="26"/>
      <c r="L1" s="26"/>
      <c r="M1" s="26"/>
    </row>
    <row r="2" spans="1:14" ht="15.75" x14ac:dyDescent="0.25">
      <c r="A2" s="165" t="s">
        <v>28</v>
      </c>
      <c r="B2" s="700"/>
      <c r="C2" s="700"/>
      <c r="D2" s="700"/>
      <c r="E2" s="297"/>
      <c r="F2" s="700"/>
      <c r="G2" s="700"/>
      <c r="H2" s="700"/>
      <c r="I2" s="297"/>
      <c r="J2" s="700"/>
      <c r="K2" s="700"/>
      <c r="L2" s="700"/>
      <c r="M2" s="297"/>
    </row>
    <row r="3" spans="1:14" ht="15.75" x14ac:dyDescent="0.25">
      <c r="A3" s="163"/>
      <c r="B3" s="297"/>
      <c r="C3" s="297"/>
      <c r="D3" s="297"/>
      <c r="E3" s="297"/>
      <c r="F3" s="297"/>
      <c r="G3" s="297"/>
      <c r="H3" s="297"/>
      <c r="I3" s="297"/>
      <c r="J3" s="297"/>
      <c r="K3" s="297"/>
      <c r="L3" s="297"/>
      <c r="M3" s="297"/>
    </row>
    <row r="4" spans="1:14" x14ac:dyDescent="0.2">
      <c r="A4" s="144"/>
      <c r="B4" s="696" t="s">
        <v>0</v>
      </c>
      <c r="C4" s="697"/>
      <c r="D4" s="697"/>
      <c r="E4" s="299"/>
      <c r="F4" s="696" t="s">
        <v>1</v>
      </c>
      <c r="G4" s="697"/>
      <c r="H4" s="697"/>
      <c r="I4" s="302"/>
      <c r="J4" s="696" t="s">
        <v>2</v>
      </c>
      <c r="K4" s="697"/>
      <c r="L4" s="697"/>
      <c r="M4" s="302"/>
    </row>
    <row r="5" spans="1:14" x14ac:dyDescent="0.2">
      <c r="A5" s="158"/>
      <c r="B5" s="152" t="s">
        <v>422</v>
      </c>
      <c r="C5" s="152" t="s">
        <v>423</v>
      </c>
      <c r="D5" s="243" t="s">
        <v>3</v>
      </c>
      <c r="E5" s="303" t="s">
        <v>29</v>
      </c>
      <c r="F5" s="152" t="s">
        <v>422</v>
      </c>
      <c r="G5" s="152" t="s">
        <v>423</v>
      </c>
      <c r="H5" s="243" t="s">
        <v>3</v>
      </c>
      <c r="I5" s="162" t="s">
        <v>29</v>
      </c>
      <c r="J5" s="152" t="s">
        <v>422</v>
      </c>
      <c r="K5" s="152" t="s">
        <v>423</v>
      </c>
      <c r="L5" s="243" t="s">
        <v>3</v>
      </c>
      <c r="M5" s="162" t="s">
        <v>29</v>
      </c>
    </row>
    <row r="6" spans="1:14" x14ac:dyDescent="0.2">
      <c r="A6" s="665"/>
      <c r="B6" s="156"/>
      <c r="C6" s="156"/>
      <c r="D6" s="244" t="s">
        <v>4</v>
      </c>
      <c r="E6" s="156" t="s">
        <v>30</v>
      </c>
      <c r="F6" s="161"/>
      <c r="G6" s="161"/>
      <c r="H6" s="243" t="s">
        <v>4</v>
      </c>
      <c r="I6" s="156" t="s">
        <v>30</v>
      </c>
      <c r="J6" s="161"/>
      <c r="K6" s="161"/>
      <c r="L6" s="243" t="s">
        <v>4</v>
      </c>
      <c r="M6" s="156" t="s">
        <v>30</v>
      </c>
    </row>
    <row r="7" spans="1:14" ht="15.75" x14ac:dyDescent="0.2">
      <c r="A7" s="14" t="s">
        <v>23</v>
      </c>
      <c r="B7" s="304"/>
      <c r="C7" s="305"/>
      <c r="D7" s="347"/>
      <c r="E7" s="11"/>
      <c r="F7" s="304"/>
      <c r="G7" s="305"/>
      <c r="H7" s="347"/>
      <c r="I7" s="160"/>
      <c r="J7" s="306"/>
      <c r="K7" s="307"/>
      <c r="L7" s="370"/>
      <c r="M7" s="11"/>
    </row>
    <row r="8" spans="1:14" ht="15.75" x14ac:dyDescent="0.2">
      <c r="A8" s="21" t="s">
        <v>25</v>
      </c>
      <c r="B8" s="279"/>
      <c r="C8" s="280"/>
      <c r="D8" s="166"/>
      <c r="E8" s="27"/>
      <c r="F8" s="283"/>
      <c r="G8" s="284"/>
      <c r="H8" s="166"/>
      <c r="I8" s="175"/>
      <c r="J8" s="232"/>
      <c r="K8" s="285"/>
      <c r="L8" s="252"/>
      <c r="M8" s="27"/>
    </row>
    <row r="9" spans="1:14" ht="15.75" x14ac:dyDescent="0.2">
      <c r="A9" s="21" t="s">
        <v>24</v>
      </c>
      <c r="B9" s="279"/>
      <c r="C9" s="280"/>
      <c r="D9" s="166"/>
      <c r="E9" s="27"/>
      <c r="F9" s="283"/>
      <c r="G9" s="284"/>
      <c r="H9" s="166"/>
      <c r="I9" s="175"/>
      <c r="J9" s="232"/>
      <c r="K9" s="285"/>
      <c r="L9" s="252"/>
      <c r="M9" s="27"/>
    </row>
    <row r="10" spans="1:14" ht="15.75" x14ac:dyDescent="0.2">
      <c r="A10" s="13" t="s">
        <v>371</v>
      </c>
      <c r="B10" s="308"/>
      <c r="C10" s="309"/>
      <c r="D10" s="171"/>
      <c r="E10" s="11"/>
      <c r="F10" s="308"/>
      <c r="G10" s="309"/>
      <c r="H10" s="171"/>
      <c r="I10" s="160"/>
      <c r="J10" s="306"/>
      <c r="K10" s="307"/>
      <c r="L10" s="371"/>
      <c r="M10" s="11"/>
    </row>
    <row r="11" spans="1:14" s="43" customFormat="1" ht="15.75" x14ac:dyDescent="0.2">
      <c r="A11" s="13" t="s">
        <v>372</v>
      </c>
      <c r="B11" s="308"/>
      <c r="C11" s="309"/>
      <c r="D11" s="171"/>
      <c r="E11" s="11"/>
      <c r="F11" s="308"/>
      <c r="G11" s="309"/>
      <c r="H11" s="171"/>
      <c r="I11" s="160"/>
      <c r="J11" s="306"/>
      <c r="K11" s="307"/>
      <c r="L11" s="371"/>
      <c r="M11" s="11"/>
      <c r="N11" s="143"/>
    </row>
    <row r="12" spans="1:14" s="43" customFormat="1" ht="15.75" x14ac:dyDescent="0.2">
      <c r="A12" s="41" t="s">
        <v>373</v>
      </c>
      <c r="B12" s="310"/>
      <c r="C12" s="311"/>
      <c r="D12" s="169"/>
      <c r="E12" s="36"/>
      <c r="F12" s="310"/>
      <c r="G12" s="311"/>
      <c r="H12" s="169"/>
      <c r="I12" s="169"/>
      <c r="J12" s="312"/>
      <c r="K12" s="313"/>
      <c r="L12" s="372"/>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95"/>
      <c r="C18" s="695"/>
      <c r="D18" s="695"/>
      <c r="E18" s="297"/>
      <c r="F18" s="695"/>
      <c r="G18" s="695"/>
      <c r="H18" s="695"/>
      <c r="I18" s="297"/>
      <c r="J18" s="695"/>
      <c r="K18" s="695"/>
      <c r="L18" s="695"/>
      <c r="M18" s="297"/>
    </row>
    <row r="19" spans="1:14" x14ac:dyDescent="0.2">
      <c r="A19" s="144"/>
      <c r="B19" s="696" t="s">
        <v>0</v>
      </c>
      <c r="C19" s="697"/>
      <c r="D19" s="697"/>
      <c r="E19" s="299"/>
      <c r="F19" s="696" t="s">
        <v>1</v>
      </c>
      <c r="G19" s="697"/>
      <c r="H19" s="697"/>
      <c r="I19" s="302"/>
      <c r="J19" s="696" t="s">
        <v>2</v>
      </c>
      <c r="K19" s="697"/>
      <c r="L19" s="697"/>
      <c r="M19" s="302"/>
    </row>
    <row r="20" spans="1:14" x14ac:dyDescent="0.2">
      <c r="A20" s="140" t="s">
        <v>5</v>
      </c>
      <c r="B20" s="152" t="s">
        <v>422</v>
      </c>
      <c r="C20" s="152" t="s">
        <v>423</v>
      </c>
      <c r="D20" s="162" t="s">
        <v>3</v>
      </c>
      <c r="E20" s="303" t="s">
        <v>29</v>
      </c>
      <c r="F20" s="152" t="s">
        <v>422</v>
      </c>
      <c r="G20" s="152" t="s">
        <v>423</v>
      </c>
      <c r="H20" s="162" t="s">
        <v>3</v>
      </c>
      <c r="I20" s="162" t="s">
        <v>29</v>
      </c>
      <c r="J20" s="152" t="s">
        <v>422</v>
      </c>
      <c r="K20" s="152" t="s">
        <v>423</v>
      </c>
      <c r="L20" s="162" t="s">
        <v>3</v>
      </c>
      <c r="M20" s="162" t="s">
        <v>29</v>
      </c>
    </row>
    <row r="21" spans="1:14" x14ac:dyDescent="0.2">
      <c r="A21" s="666"/>
      <c r="B21" s="156"/>
      <c r="C21" s="156"/>
      <c r="D21" s="244" t="s">
        <v>4</v>
      </c>
      <c r="E21" s="156" t="s">
        <v>30</v>
      </c>
      <c r="F21" s="161"/>
      <c r="G21" s="161"/>
      <c r="H21" s="243" t="s">
        <v>4</v>
      </c>
      <c r="I21" s="156" t="s">
        <v>30</v>
      </c>
      <c r="J21" s="161"/>
      <c r="K21" s="161"/>
      <c r="L21" s="156" t="s">
        <v>4</v>
      </c>
      <c r="M21" s="156" t="s">
        <v>30</v>
      </c>
    </row>
    <row r="22" spans="1:14" ht="15.75" x14ac:dyDescent="0.2">
      <c r="A22" s="14" t="s">
        <v>23</v>
      </c>
      <c r="B22" s="308"/>
      <c r="C22" s="308"/>
      <c r="D22" s="347"/>
      <c r="E22" s="11"/>
      <c r="F22" s="316"/>
      <c r="G22" s="316"/>
      <c r="H22" s="347"/>
      <c r="I22" s="11"/>
      <c r="J22" s="314"/>
      <c r="K22" s="314"/>
      <c r="L22" s="370"/>
      <c r="M22" s="24"/>
    </row>
    <row r="23" spans="1:14" ht="15.75" x14ac:dyDescent="0.2">
      <c r="A23" s="551" t="s">
        <v>374</v>
      </c>
      <c r="B23" s="279"/>
      <c r="C23" s="279"/>
      <c r="D23" s="166"/>
      <c r="E23" s="11"/>
      <c r="F23" s="288"/>
      <c r="G23" s="288"/>
      <c r="H23" s="166"/>
      <c r="I23" s="363"/>
      <c r="J23" s="288"/>
      <c r="K23" s="288"/>
      <c r="L23" s="166"/>
      <c r="M23" s="23"/>
    </row>
    <row r="24" spans="1:14" ht="15.75" x14ac:dyDescent="0.2">
      <c r="A24" s="551" t="s">
        <v>375</v>
      </c>
      <c r="B24" s="279"/>
      <c r="C24" s="279"/>
      <c r="D24" s="166"/>
      <c r="E24" s="11"/>
      <c r="F24" s="288"/>
      <c r="G24" s="288"/>
      <c r="H24" s="166"/>
      <c r="I24" s="363"/>
      <c r="J24" s="288"/>
      <c r="K24" s="288"/>
      <c r="L24" s="166"/>
      <c r="M24" s="23"/>
    </row>
    <row r="25" spans="1:14" ht="15.75" x14ac:dyDescent="0.2">
      <c r="A25" s="551" t="s">
        <v>376</v>
      </c>
      <c r="B25" s="279"/>
      <c r="C25" s="279"/>
      <c r="D25" s="166"/>
      <c r="E25" s="11"/>
      <c r="F25" s="288"/>
      <c r="G25" s="288"/>
      <c r="H25" s="166"/>
      <c r="I25" s="363"/>
      <c r="J25" s="288"/>
      <c r="K25" s="288"/>
      <c r="L25" s="166"/>
      <c r="M25" s="23"/>
    </row>
    <row r="26" spans="1:14" ht="15.75" x14ac:dyDescent="0.2">
      <c r="A26" s="551" t="s">
        <v>377</v>
      </c>
      <c r="B26" s="279"/>
      <c r="C26" s="279"/>
      <c r="D26" s="166"/>
      <c r="E26" s="11"/>
      <c r="F26" s="288"/>
      <c r="G26" s="288"/>
      <c r="H26" s="166"/>
      <c r="I26" s="363"/>
      <c r="J26" s="288"/>
      <c r="K26" s="288"/>
      <c r="L26" s="166"/>
      <c r="M26" s="23"/>
    </row>
    <row r="27" spans="1:14" x14ac:dyDescent="0.2">
      <c r="A27" s="551" t="s">
        <v>11</v>
      </c>
      <c r="B27" s="279"/>
      <c r="C27" s="279"/>
      <c r="D27" s="166"/>
      <c r="E27" s="11"/>
      <c r="F27" s="288"/>
      <c r="G27" s="288"/>
      <c r="H27" s="166"/>
      <c r="I27" s="363"/>
      <c r="J27" s="288"/>
      <c r="K27" s="288"/>
      <c r="L27" s="166"/>
      <c r="M27" s="23"/>
    </row>
    <row r="28" spans="1:14" ht="15.75" x14ac:dyDescent="0.2">
      <c r="A28" s="49" t="s">
        <v>282</v>
      </c>
      <c r="B28" s="44"/>
      <c r="C28" s="285"/>
      <c r="D28" s="166"/>
      <c r="E28" s="11"/>
      <c r="F28" s="232"/>
      <c r="G28" s="285"/>
      <c r="H28" s="166"/>
      <c r="I28" s="27"/>
      <c r="J28" s="44"/>
      <c r="K28" s="44"/>
      <c r="L28" s="252"/>
      <c r="M28" s="23"/>
    </row>
    <row r="29" spans="1:14" s="3" customFormat="1" ht="15.75" x14ac:dyDescent="0.2">
      <c r="A29" s="13" t="s">
        <v>371</v>
      </c>
      <c r="B29" s="234"/>
      <c r="C29" s="234"/>
      <c r="D29" s="171"/>
      <c r="E29" s="11"/>
      <c r="F29" s="306"/>
      <c r="G29" s="306"/>
      <c r="H29" s="171"/>
      <c r="I29" s="11"/>
      <c r="J29" s="234"/>
      <c r="K29" s="234"/>
      <c r="L29" s="371"/>
      <c r="M29" s="24"/>
      <c r="N29" s="148"/>
    </row>
    <row r="30" spans="1:14" s="3" customFormat="1" ht="15.75" x14ac:dyDescent="0.2">
      <c r="A30" s="551" t="s">
        <v>374</v>
      </c>
      <c r="B30" s="279"/>
      <c r="C30" s="279"/>
      <c r="D30" s="166"/>
      <c r="E30" s="11"/>
      <c r="F30" s="288"/>
      <c r="G30" s="288"/>
      <c r="H30" s="166"/>
      <c r="I30" s="363"/>
      <c r="J30" s="288"/>
      <c r="K30" s="288"/>
      <c r="L30" s="166"/>
      <c r="M30" s="23"/>
      <c r="N30" s="148"/>
    </row>
    <row r="31" spans="1:14" s="3" customFormat="1" ht="15.75" x14ac:dyDescent="0.2">
      <c r="A31" s="551" t="s">
        <v>375</v>
      </c>
      <c r="B31" s="279"/>
      <c r="C31" s="279"/>
      <c r="D31" s="166"/>
      <c r="E31" s="11"/>
      <c r="F31" s="288"/>
      <c r="G31" s="288"/>
      <c r="H31" s="166"/>
      <c r="I31" s="363"/>
      <c r="J31" s="288"/>
      <c r="K31" s="288"/>
      <c r="L31" s="166"/>
      <c r="M31" s="23"/>
      <c r="N31" s="148"/>
    </row>
    <row r="32" spans="1:14" ht="15.75" x14ac:dyDescent="0.2">
      <c r="A32" s="551" t="s">
        <v>376</v>
      </c>
      <c r="B32" s="279"/>
      <c r="C32" s="279"/>
      <c r="D32" s="166"/>
      <c r="E32" s="11"/>
      <c r="F32" s="288"/>
      <c r="G32" s="288"/>
      <c r="H32" s="166"/>
      <c r="I32" s="363"/>
      <c r="J32" s="288"/>
      <c r="K32" s="288"/>
      <c r="L32" s="166"/>
      <c r="M32" s="23"/>
    </row>
    <row r="33" spans="1:14" ht="15.75" x14ac:dyDescent="0.2">
      <c r="A33" s="551" t="s">
        <v>377</v>
      </c>
      <c r="B33" s="279"/>
      <c r="C33" s="279"/>
      <c r="D33" s="166"/>
      <c r="E33" s="11"/>
      <c r="F33" s="288"/>
      <c r="G33" s="288"/>
      <c r="H33" s="166"/>
      <c r="I33" s="363"/>
      <c r="J33" s="288"/>
      <c r="K33" s="288"/>
      <c r="L33" s="166"/>
      <c r="M33" s="23"/>
    </row>
    <row r="34" spans="1:14" ht="15.75" x14ac:dyDescent="0.2">
      <c r="A34" s="13" t="s">
        <v>372</v>
      </c>
      <c r="B34" s="234"/>
      <c r="C34" s="307"/>
      <c r="D34" s="171"/>
      <c r="E34" s="11"/>
      <c r="F34" s="306"/>
      <c r="G34" s="307"/>
      <c r="H34" s="171"/>
      <c r="I34" s="11"/>
      <c r="J34" s="234"/>
      <c r="K34" s="234"/>
      <c r="L34" s="371"/>
      <c r="M34" s="24"/>
    </row>
    <row r="35" spans="1:14" ht="15.75" x14ac:dyDescent="0.2">
      <c r="A35" s="13" t="s">
        <v>373</v>
      </c>
      <c r="B35" s="234"/>
      <c r="C35" s="307"/>
      <c r="D35" s="171"/>
      <c r="E35" s="11"/>
      <c r="F35" s="306"/>
      <c r="G35" s="307"/>
      <c r="H35" s="171"/>
      <c r="I35" s="11"/>
      <c r="J35" s="234"/>
      <c r="K35" s="234"/>
      <c r="L35" s="371"/>
      <c r="M35" s="24"/>
    </row>
    <row r="36" spans="1:14" ht="15.75" x14ac:dyDescent="0.2">
      <c r="A36" s="12" t="s">
        <v>290</v>
      </c>
      <c r="B36" s="234"/>
      <c r="C36" s="307"/>
      <c r="D36" s="171"/>
      <c r="E36" s="11"/>
      <c r="F36" s="317"/>
      <c r="G36" s="318"/>
      <c r="H36" s="171"/>
      <c r="I36" s="377"/>
      <c r="J36" s="234"/>
      <c r="K36" s="234"/>
      <c r="L36" s="371"/>
      <c r="M36" s="24"/>
    </row>
    <row r="37" spans="1:14" ht="15.75" x14ac:dyDescent="0.2">
      <c r="A37" s="12" t="s">
        <v>379</v>
      </c>
      <c r="B37" s="234"/>
      <c r="C37" s="307"/>
      <c r="D37" s="171"/>
      <c r="E37" s="11"/>
      <c r="F37" s="317"/>
      <c r="G37" s="319"/>
      <c r="H37" s="171"/>
      <c r="I37" s="377"/>
      <c r="J37" s="234"/>
      <c r="K37" s="234"/>
      <c r="L37" s="371"/>
      <c r="M37" s="24"/>
    </row>
    <row r="38" spans="1:14" ht="15.75" x14ac:dyDescent="0.2">
      <c r="A38" s="12" t="s">
        <v>380</v>
      </c>
      <c r="B38" s="234"/>
      <c r="C38" s="307"/>
      <c r="D38" s="171"/>
      <c r="E38" s="24"/>
      <c r="F38" s="317"/>
      <c r="G38" s="318"/>
      <c r="H38" s="171"/>
      <c r="I38" s="377"/>
      <c r="J38" s="234"/>
      <c r="K38" s="234"/>
      <c r="L38" s="371"/>
      <c r="M38" s="24"/>
    </row>
    <row r="39" spans="1:14" ht="15.75" x14ac:dyDescent="0.2">
      <c r="A39" s="18" t="s">
        <v>381</v>
      </c>
      <c r="B39" s="274"/>
      <c r="C39" s="313"/>
      <c r="D39" s="169"/>
      <c r="E39" s="36"/>
      <c r="F39" s="320"/>
      <c r="G39" s="321"/>
      <c r="H39" s="169"/>
      <c r="I39" s="36"/>
      <c r="J39" s="234"/>
      <c r="K39" s="234"/>
      <c r="L39" s="372"/>
      <c r="M39" s="36"/>
    </row>
    <row r="40" spans="1:14" ht="15.75" x14ac:dyDescent="0.25">
      <c r="A40" s="47"/>
      <c r="B40" s="251"/>
      <c r="C40" s="251"/>
      <c r="D40" s="699"/>
      <c r="E40" s="699"/>
      <c r="F40" s="699"/>
      <c r="G40" s="699"/>
      <c r="H40" s="699"/>
      <c r="I40" s="699"/>
      <c r="J40" s="699"/>
      <c r="K40" s="699"/>
      <c r="L40" s="699"/>
      <c r="M40" s="300"/>
    </row>
    <row r="41" spans="1:14" x14ac:dyDescent="0.2">
      <c r="A41" s="155"/>
    </row>
    <row r="42" spans="1:14" ht="15.75" x14ac:dyDescent="0.25">
      <c r="A42" s="147" t="s">
        <v>279</v>
      </c>
      <c r="B42" s="700"/>
      <c r="C42" s="700"/>
      <c r="D42" s="700"/>
      <c r="E42" s="297"/>
      <c r="F42" s="701"/>
      <c r="G42" s="701"/>
      <c r="H42" s="701"/>
      <c r="I42" s="300"/>
      <c r="J42" s="701"/>
      <c r="K42" s="701"/>
      <c r="L42" s="701"/>
      <c r="M42" s="300"/>
    </row>
    <row r="43" spans="1:14" ht="15.75" x14ac:dyDescent="0.25">
      <c r="A43" s="163"/>
      <c r="B43" s="301"/>
      <c r="C43" s="301"/>
      <c r="D43" s="301"/>
      <c r="E43" s="301"/>
      <c r="F43" s="300"/>
      <c r="G43" s="300"/>
      <c r="H43" s="300"/>
      <c r="I43" s="300"/>
      <c r="J43" s="300"/>
      <c r="K43" s="300"/>
      <c r="L43" s="300"/>
      <c r="M43" s="300"/>
    </row>
    <row r="44" spans="1:14" ht="15.75" x14ac:dyDescent="0.25">
      <c r="A44" s="245"/>
      <c r="B44" s="696" t="s">
        <v>0</v>
      </c>
      <c r="C44" s="697"/>
      <c r="D44" s="697"/>
      <c r="E44" s="241"/>
      <c r="F44" s="300"/>
      <c r="G44" s="300"/>
      <c r="H44" s="300"/>
      <c r="I44" s="300"/>
      <c r="J44" s="300"/>
      <c r="K44" s="300"/>
      <c r="L44" s="300"/>
      <c r="M44" s="300"/>
    </row>
    <row r="45" spans="1:14" s="3" customFormat="1" x14ac:dyDescent="0.2">
      <c r="A45" s="140"/>
      <c r="B45" s="152" t="s">
        <v>422</v>
      </c>
      <c r="C45" s="152" t="s">
        <v>423</v>
      </c>
      <c r="D45" s="162" t="s">
        <v>3</v>
      </c>
      <c r="E45" s="162" t="s">
        <v>29</v>
      </c>
      <c r="F45" s="174"/>
      <c r="G45" s="174"/>
      <c r="H45" s="173"/>
      <c r="I45" s="173"/>
      <c r="J45" s="174"/>
      <c r="K45" s="174"/>
      <c r="L45" s="173"/>
      <c r="M45" s="173"/>
      <c r="N45" s="148"/>
    </row>
    <row r="46" spans="1:14" s="3" customFormat="1" x14ac:dyDescent="0.2">
      <c r="A46" s="666"/>
      <c r="B46" s="242"/>
      <c r="C46" s="242"/>
      <c r="D46" s="243" t="s">
        <v>4</v>
      </c>
      <c r="E46" s="156" t="s">
        <v>30</v>
      </c>
      <c r="F46" s="173"/>
      <c r="G46" s="173"/>
      <c r="H46" s="173"/>
      <c r="I46" s="173"/>
      <c r="J46" s="173"/>
      <c r="K46" s="173"/>
      <c r="L46" s="173"/>
      <c r="M46" s="173"/>
      <c r="N46" s="148"/>
    </row>
    <row r="47" spans="1:14" s="3" customFormat="1" ht="15.75" x14ac:dyDescent="0.2">
      <c r="A47" s="14" t="s">
        <v>23</v>
      </c>
      <c r="B47" s="308">
        <v>20446</v>
      </c>
      <c r="C47" s="309">
        <v>0</v>
      </c>
      <c r="D47" s="370">
        <f t="shared" ref="D47:D48" si="0">IF(B47=0, "    ---- ", IF(ABS(ROUND(100/B47*C47-100,1))&lt;999,ROUND(100/B47*C47-100,1),IF(ROUND(100/B47*C47-100,1)&gt;999,999,-999)))</f>
        <v>-100</v>
      </c>
      <c r="E47" s="11">
        <f>IFERROR(100/'Skjema total MA'!C47*C47,0)</f>
        <v>0</v>
      </c>
      <c r="F47" s="145"/>
      <c r="G47" s="33"/>
      <c r="H47" s="159"/>
      <c r="I47" s="159"/>
      <c r="J47" s="37"/>
      <c r="K47" s="37"/>
      <c r="L47" s="159"/>
      <c r="M47" s="159"/>
      <c r="N47" s="148"/>
    </row>
    <row r="48" spans="1:14" s="3" customFormat="1" ht="15.75" x14ac:dyDescent="0.2">
      <c r="A48" s="38" t="s">
        <v>382</v>
      </c>
      <c r="B48" s="279">
        <v>20446</v>
      </c>
      <c r="C48" s="280">
        <v>0</v>
      </c>
      <c r="D48" s="252">
        <f t="shared" si="0"/>
        <v>-100</v>
      </c>
      <c r="E48" s="27">
        <f>IFERROR(100/'Skjema total MA'!C48*C48,0)</f>
        <v>0</v>
      </c>
      <c r="F48" s="145"/>
      <c r="G48" s="33"/>
      <c r="H48" s="145"/>
      <c r="I48" s="145"/>
      <c r="J48" s="33"/>
      <c r="K48" s="33"/>
      <c r="L48" s="159"/>
      <c r="M48" s="159"/>
      <c r="N48" s="148"/>
    </row>
    <row r="49" spans="1:14" s="3" customFormat="1" ht="15.75" x14ac:dyDescent="0.2">
      <c r="A49" s="38" t="s">
        <v>383</v>
      </c>
      <c r="B49" s="44"/>
      <c r="C49" s="285"/>
      <c r="D49" s="252"/>
      <c r="E49" s="27"/>
      <c r="F49" s="145"/>
      <c r="G49" s="33"/>
      <c r="H49" s="145"/>
      <c r="I49" s="145"/>
      <c r="J49" s="37"/>
      <c r="K49" s="37"/>
      <c r="L49" s="159"/>
      <c r="M49" s="159"/>
      <c r="N49" s="148"/>
    </row>
    <row r="50" spans="1:14" s="3" customFormat="1" x14ac:dyDescent="0.2">
      <c r="A50" s="294" t="s">
        <v>6</v>
      </c>
      <c r="B50" s="288"/>
      <c r="C50" s="289"/>
      <c r="D50" s="252"/>
      <c r="E50" s="23"/>
      <c r="F50" s="145"/>
      <c r="G50" s="33"/>
      <c r="H50" s="145"/>
      <c r="I50" s="145"/>
      <c r="J50" s="33"/>
      <c r="K50" s="33"/>
      <c r="L50" s="159"/>
      <c r="M50" s="159"/>
      <c r="N50" s="148"/>
    </row>
    <row r="51" spans="1:14" s="3" customFormat="1" x14ac:dyDescent="0.2">
      <c r="A51" s="294" t="s">
        <v>7</v>
      </c>
      <c r="B51" s="288"/>
      <c r="C51" s="289"/>
      <c r="D51" s="252"/>
      <c r="E51" s="23"/>
      <c r="F51" s="145"/>
      <c r="G51" s="33"/>
      <c r="H51" s="145"/>
      <c r="I51" s="145"/>
      <c r="J51" s="33"/>
      <c r="K51" s="33"/>
      <c r="L51" s="159"/>
      <c r="M51" s="159"/>
      <c r="N51" s="148"/>
    </row>
    <row r="52" spans="1:14" s="3" customFormat="1" x14ac:dyDescent="0.2">
      <c r="A52" s="294" t="s">
        <v>8</v>
      </c>
      <c r="B52" s="288"/>
      <c r="C52" s="289"/>
      <c r="D52" s="252"/>
      <c r="E52" s="23"/>
      <c r="F52" s="145"/>
      <c r="G52" s="33"/>
      <c r="H52" s="145"/>
      <c r="I52" s="145"/>
      <c r="J52" s="33"/>
      <c r="K52" s="33"/>
      <c r="L52" s="159"/>
      <c r="M52" s="159"/>
      <c r="N52" s="148"/>
    </row>
    <row r="53" spans="1:14" s="3" customFormat="1" ht="15.75" x14ac:dyDescent="0.2">
      <c r="A53" s="39" t="s">
        <v>384</v>
      </c>
      <c r="B53" s="308"/>
      <c r="C53" s="309"/>
      <c r="D53" s="371"/>
      <c r="E53" s="11"/>
      <c r="F53" s="145"/>
      <c r="G53" s="33"/>
      <c r="H53" s="145"/>
      <c r="I53" s="145"/>
      <c r="J53" s="33"/>
      <c r="K53" s="33"/>
      <c r="L53" s="159"/>
      <c r="M53" s="159"/>
      <c r="N53" s="148"/>
    </row>
    <row r="54" spans="1:14" s="3" customFormat="1" ht="15.75" x14ac:dyDescent="0.2">
      <c r="A54" s="38" t="s">
        <v>382</v>
      </c>
      <c r="B54" s="279"/>
      <c r="C54" s="280"/>
      <c r="D54" s="252"/>
      <c r="E54" s="27"/>
      <c r="F54" s="145"/>
      <c r="G54" s="33"/>
      <c r="H54" s="145"/>
      <c r="I54" s="145"/>
      <c r="J54" s="33"/>
      <c r="K54" s="33"/>
      <c r="L54" s="159"/>
      <c r="M54" s="159"/>
      <c r="N54" s="148"/>
    </row>
    <row r="55" spans="1:14" s="3" customFormat="1" ht="15.75" x14ac:dyDescent="0.2">
      <c r="A55" s="38" t="s">
        <v>383</v>
      </c>
      <c r="B55" s="279"/>
      <c r="C55" s="280"/>
      <c r="D55" s="252"/>
      <c r="E55" s="27"/>
      <c r="F55" s="145"/>
      <c r="G55" s="33"/>
      <c r="H55" s="145"/>
      <c r="I55" s="145"/>
      <c r="J55" s="33"/>
      <c r="K55" s="33"/>
      <c r="L55" s="159"/>
      <c r="M55" s="159"/>
      <c r="N55" s="148"/>
    </row>
    <row r="56" spans="1:14" s="3" customFormat="1" ht="15.75" x14ac:dyDescent="0.2">
      <c r="A56" s="39" t="s">
        <v>385</v>
      </c>
      <c r="B56" s="308"/>
      <c r="C56" s="309"/>
      <c r="D56" s="371"/>
      <c r="E56" s="11"/>
      <c r="F56" s="145"/>
      <c r="G56" s="33"/>
      <c r="H56" s="145"/>
      <c r="I56" s="145"/>
      <c r="J56" s="33"/>
      <c r="K56" s="33"/>
      <c r="L56" s="159"/>
      <c r="M56" s="159"/>
      <c r="N56" s="148"/>
    </row>
    <row r="57" spans="1:14" s="3" customFormat="1" ht="15.75" x14ac:dyDescent="0.2">
      <c r="A57" s="38" t="s">
        <v>382</v>
      </c>
      <c r="B57" s="279"/>
      <c r="C57" s="280"/>
      <c r="D57" s="252"/>
      <c r="E57" s="27"/>
      <c r="F57" s="145"/>
      <c r="G57" s="33"/>
      <c r="H57" s="145"/>
      <c r="I57" s="145"/>
      <c r="J57" s="33"/>
      <c r="K57" s="33"/>
      <c r="L57" s="159"/>
      <c r="M57" s="159"/>
      <c r="N57" s="148"/>
    </row>
    <row r="58" spans="1:14" s="3" customFormat="1" ht="15.75" x14ac:dyDescent="0.2">
      <c r="A58" s="46" t="s">
        <v>383</v>
      </c>
      <c r="B58" s="281"/>
      <c r="C58" s="282"/>
      <c r="D58" s="253"/>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95"/>
      <c r="C62" s="695"/>
      <c r="D62" s="695"/>
      <c r="E62" s="297"/>
      <c r="F62" s="695"/>
      <c r="G62" s="695"/>
      <c r="H62" s="695"/>
      <c r="I62" s="297"/>
      <c r="J62" s="695"/>
      <c r="K62" s="695"/>
      <c r="L62" s="695"/>
      <c r="M62" s="297"/>
    </row>
    <row r="63" spans="1:14" x14ac:dyDescent="0.2">
      <c r="A63" s="144"/>
      <c r="B63" s="696" t="s">
        <v>0</v>
      </c>
      <c r="C63" s="697"/>
      <c r="D63" s="698"/>
      <c r="E63" s="298"/>
      <c r="F63" s="697" t="s">
        <v>1</v>
      </c>
      <c r="G63" s="697"/>
      <c r="H63" s="697"/>
      <c r="I63" s="302"/>
      <c r="J63" s="696" t="s">
        <v>2</v>
      </c>
      <c r="K63" s="697"/>
      <c r="L63" s="697"/>
      <c r="M63" s="302"/>
    </row>
    <row r="64" spans="1:14" x14ac:dyDescent="0.2">
      <c r="A64" s="140"/>
      <c r="B64" s="152" t="s">
        <v>422</v>
      </c>
      <c r="C64" s="152" t="s">
        <v>423</v>
      </c>
      <c r="D64" s="243" t="s">
        <v>3</v>
      </c>
      <c r="E64" s="303" t="s">
        <v>29</v>
      </c>
      <c r="F64" s="152" t="s">
        <v>422</v>
      </c>
      <c r="G64" s="152" t="s">
        <v>423</v>
      </c>
      <c r="H64" s="243" t="s">
        <v>3</v>
      </c>
      <c r="I64" s="303" t="s">
        <v>29</v>
      </c>
      <c r="J64" s="152" t="s">
        <v>422</v>
      </c>
      <c r="K64" s="152" t="s">
        <v>423</v>
      </c>
      <c r="L64" s="243" t="s">
        <v>3</v>
      </c>
      <c r="M64" s="162" t="s">
        <v>29</v>
      </c>
    </row>
    <row r="65" spans="1:14" x14ac:dyDescent="0.2">
      <c r="A65" s="666"/>
      <c r="B65" s="156"/>
      <c r="C65" s="156"/>
      <c r="D65" s="244" t="s">
        <v>4</v>
      </c>
      <c r="E65" s="156" t="s">
        <v>30</v>
      </c>
      <c r="F65" s="161"/>
      <c r="G65" s="161"/>
      <c r="H65" s="243" t="s">
        <v>4</v>
      </c>
      <c r="I65" s="156" t="s">
        <v>30</v>
      </c>
      <c r="J65" s="161"/>
      <c r="K65" s="205"/>
      <c r="L65" s="156" t="s">
        <v>4</v>
      </c>
      <c r="M65" s="156" t="s">
        <v>30</v>
      </c>
    </row>
    <row r="66" spans="1:14" ht="15.75" x14ac:dyDescent="0.2">
      <c r="A66" s="14" t="s">
        <v>23</v>
      </c>
      <c r="B66" s="350"/>
      <c r="C66" s="350"/>
      <c r="D66" s="347"/>
      <c r="E66" s="11"/>
      <c r="F66" s="349"/>
      <c r="G66" s="349"/>
      <c r="H66" s="347"/>
      <c r="I66" s="11"/>
      <c r="J66" s="307"/>
      <c r="K66" s="314"/>
      <c r="L66" s="371"/>
      <c r="M66" s="11"/>
    </row>
    <row r="67" spans="1:14" x14ac:dyDescent="0.2">
      <c r="A67" s="365" t="s">
        <v>9</v>
      </c>
      <c r="B67" s="44"/>
      <c r="C67" s="145"/>
      <c r="D67" s="166"/>
      <c r="E67" s="27"/>
      <c r="F67" s="232"/>
      <c r="G67" s="145"/>
      <c r="H67" s="166"/>
      <c r="I67" s="27"/>
      <c r="J67" s="285"/>
      <c r="K67" s="44"/>
      <c r="L67" s="252"/>
      <c r="M67" s="27"/>
    </row>
    <row r="68" spans="1:14" x14ac:dyDescent="0.2">
      <c r="A68" s="21" t="s">
        <v>10</v>
      </c>
      <c r="B68" s="290"/>
      <c r="C68" s="291"/>
      <c r="D68" s="166"/>
      <c r="E68" s="27"/>
      <c r="F68" s="290"/>
      <c r="G68" s="291"/>
      <c r="H68" s="166"/>
      <c r="I68" s="27"/>
      <c r="J68" s="285"/>
      <c r="K68" s="44"/>
      <c r="L68" s="252"/>
      <c r="M68" s="27"/>
    </row>
    <row r="69" spans="1:14" ht="15.75" x14ac:dyDescent="0.2">
      <c r="A69" s="294" t="s">
        <v>386</v>
      </c>
      <c r="B69" s="279"/>
      <c r="C69" s="279"/>
      <c r="D69" s="166"/>
      <c r="E69" s="363"/>
      <c r="F69" s="279"/>
      <c r="G69" s="279"/>
      <c r="H69" s="166"/>
      <c r="I69" s="363"/>
      <c r="J69" s="288"/>
      <c r="K69" s="288"/>
      <c r="L69" s="166"/>
      <c r="M69" s="23"/>
    </row>
    <row r="70" spans="1:14" x14ac:dyDescent="0.2">
      <c r="A70" s="294" t="s">
        <v>12</v>
      </c>
      <c r="B70" s="292"/>
      <c r="C70" s="293"/>
      <c r="D70" s="166"/>
      <c r="E70" s="363"/>
      <c r="F70" s="279"/>
      <c r="G70" s="279"/>
      <c r="H70" s="166"/>
      <c r="I70" s="363"/>
      <c r="J70" s="288"/>
      <c r="K70" s="288"/>
      <c r="L70" s="166"/>
      <c r="M70" s="23"/>
    </row>
    <row r="71" spans="1:14" x14ac:dyDescent="0.2">
      <c r="A71" s="294" t="s">
        <v>13</v>
      </c>
      <c r="B71" s="233"/>
      <c r="C71" s="287"/>
      <c r="D71" s="166"/>
      <c r="E71" s="363"/>
      <c r="F71" s="279"/>
      <c r="G71" s="279"/>
      <c r="H71" s="166"/>
      <c r="I71" s="363"/>
      <c r="J71" s="288"/>
      <c r="K71" s="288"/>
      <c r="L71" s="166"/>
      <c r="M71" s="23"/>
    </row>
    <row r="72" spans="1:14" ht="15.75" x14ac:dyDescent="0.2">
      <c r="A72" s="294" t="s">
        <v>387</v>
      </c>
      <c r="B72" s="279"/>
      <c r="C72" s="279"/>
      <c r="D72" s="166"/>
      <c r="E72" s="363"/>
      <c r="F72" s="279"/>
      <c r="G72" s="279"/>
      <c r="H72" s="166"/>
      <c r="I72" s="363"/>
      <c r="J72" s="288"/>
      <c r="K72" s="288"/>
      <c r="L72" s="166"/>
      <c r="M72" s="23"/>
    </row>
    <row r="73" spans="1:14" x14ac:dyDescent="0.2">
      <c r="A73" s="294" t="s">
        <v>12</v>
      </c>
      <c r="B73" s="233"/>
      <c r="C73" s="287"/>
      <c r="D73" s="166"/>
      <c r="E73" s="363"/>
      <c r="F73" s="279"/>
      <c r="G73" s="279"/>
      <c r="H73" s="166"/>
      <c r="I73" s="363"/>
      <c r="J73" s="288"/>
      <c r="K73" s="288"/>
      <c r="L73" s="166"/>
      <c r="M73" s="23"/>
    </row>
    <row r="74" spans="1:14" s="3" customFormat="1" x14ac:dyDescent="0.2">
      <c r="A74" s="294" t="s">
        <v>13</v>
      </c>
      <c r="B74" s="233"/>
      <c r="C74" s="287"/>
      <c r="D74" s="166"/>
      <c r="E74" s="363"/>
      <c r="F74" s="279"/>
      <c r="G74" s="279"/>
      <c r="H74" s="166"/>
      <c r="I74" s="363"/>
      <c r="J74" s="288"/>
      <c r="K74" s="288"/>
      <c r="L74" s="166"/>
      <c r="M74" s="23"/>
      <c r="N74" s="148"/>
    </row>
    <row r="75" spans="1:14" s="3" customFormat="1" x14ac:dyDescent="0.2">
      <c r="A75" s="21" t="s">
        <v>356</v>
      </c>
      <c r="B75" s="232"/>
      <c r="C75" s="145"/>
      <c r="D75" s="166"/>
      <c r="E75" s="27"/>
      <c r="F75" s="232"/>
      <c r="G75" s="145"/>
      <c r="H75" s="166"/>
      <c r="I75" s="27"/>
      <c r="J75" s="285"/>
      <c r="K75" s="44"/>
      <c r="L75" s="252"/>
      <c r="M75" s="27"/>
      <c r="N75" s="148"/>
    </row>
    <row r="76" spans="1:14" s="3" customFormat="1" x14ac:dyDescent="0.2">
      <c r="A76" s="21" t="s">
        <v>355</v>
      </c>
      <c r="B76" s="232"/>
      <c r="C76" s="145"/>
      <c r="D76" s="166"/>
      <c r="E76" s="27"/>
      <c r="F76" s="232"/>
      <c r="G76" s="145"/>
      <c r="H76" s="166"/>
      <c r="I76" s="27"/>
      <c r="J76" s="285"/>
      <c r="K76" s="44"/>
      <c r="L76" s="252"/>
      <c r="M76" s="27"/>
      <c r="N76" s="148"/>
    </row>
    <row r="77" spans="1:14" ht="15.75" x14ac:dyDescent="0.2">
      <c r="A77" s="21" t="s">
        <v>388</v>
      </c>
      <c r="B77" s="232"/>
      <c r="C77" s="232"/>
      <c r="D77" s="166"/>
      <c r="E77" s="27"/>
      <c r="F77" s="232"/>
      <c r="G77" s="145"/>
      <c r="H77" s="166"/>
      <c r="I77" s="27"/>
      <c r="J77" s="285"/>
      <c r="K77" s="44"/>
      <c r="L77" s="252"/>
      <c r="M77" s="27"/>
    </row>
    <row r="78" spans="1:14" x14ac:dyDescent="0.2">
      <c r="A78" s="21" t="s">
        <v>9</v>
      </c>
      <c r="B78" s="232"/>
      <c r="C78" s="145"/>
      <c r="D78" s="166"/>
      <c r="E78" s="27"/>
      <c r="F78" s="232"/>
      <c r="G78" s="145"/>
      <c r="H78" s="166"/>
      <c r="I78" s="27"/>
      <c r="J78" s="285"/>
      <c r="K78" s="44"/>
      <c r="L78" s="252"/>
      <c r="M78" s="27"/>
    </row>
    <row r="79" spans="1:14" x14ac:dyDescent="0.2">
      <c r="A79" s="21" t="s">
        <v>10</v>
      </c>
      <c r="B79" s="290"/>
      <c r="C79" s="291"/>
      <c r="D79" s="166"/>
      <c r="E79" s="27"/>
      <c r="F79" s="290"/>
      <c r="G79" s="291"/>
      <c r="H79" s="166"/>
      <c r="I79" s="27"/>
      <c r="J79" s="285"/>
      <c r="K79" s="44"/>
      <c r="L79" s="252"/>
      <c r="M79" s="27"/>
    </row>
    <row r="80" spans="1:14" ht="15.75" x14ac:dyDescent="0.2">
      <c r="A80" s="294" t="s">
        <v>386</v>
      </c>
      <c r="B80" s="279"/>
      <c r="C80" s="279"/>
      <c r="D80" s="166"/>
      <c r="E80" s="363"/>
      <c r="F80" s="279"/>
      <c r="G80" s="279"/>
      <c r="H80" s="166"/>
      <c r="I80" s="363"/>
      <c r="J80" s="288"/>
      <c r="K80" s="288"/>
      <c r="L80" s="166"/>
      <c r="M80" s="23"/>
    </row>
    <row r="81" spans="1:13" x14ac:dyDescent="0.2">
      <c r="A81" s="294" t="s">
        <v>12</v>
      </c>
      <c r="B81" s="233"/>
      <c r="C81" s="287"/>
      <c r="D81" s="166"/>
      <c r="E81" s="363"/>
      <c r="F81" s="279"/>
      <c r="G81" s="279"/>
      <c r="H81" s="166"/>
      <c r="I81" s="363"/>
      <c r="J81" s="288"/>
      <c r="K81" s="288"/>
      <c r="L81" s="166"/>
      <c r="M81" s="23"/>
    </row>
    <row r="82" spans="1:13" x14ac:dyDescent="0.2">
      <c r="A82" s="294" t="s">
        <v>13</v>
      </c>
      <c r="B82" s="233"/>
      <c r="C82" s="287"/>
      <c r="D82" s="166"/>
      <c r="E82" s="363"/>
      <c r="F82" s="279"/>
      <c r="G82" s="279"/>
      <c r="H82" s="166"/>
      <c r="I82" s="363"/>
      <c r="J82" s="288"/>
      <c r="K82" s="288"/>
      <c r="L82" s="166"/>
      <c r="M82" s="23"/>
    </row>
    <row r="83" spans="1:13" ht="15.75" x14ac:dyDescent="0.2">
      <c r="A83" s="294" t="s">
        <v>387</v>
      </c>
      <c r="B83" s="279"/>
      <c r="C83" s="279"/>
      <c r="D83" s="166"/>
      <c r="E83" s="363"/>
      <c r="F83" s="279"/>
      <c r="G83" s="279"/>
      <c r="H83" s="166"/>
      <c r="I83" s="363"/>
      <c r="J83" s="288"/>
      <c r="K83" s="288"/>
      <c r="L83" s="166"/>
      <c r="M83" s="23"/>
    </row>
    <row r="84" spans="1:13" x14ac:dyDescent="0.2">
      <c r="A84" s="294" t="s">
        <v>12</v>
      </c>
      <c r="B84" s="233"/>
      <c r="C84" s="287"/>
      <c r="D84" s="166"/>
      <c r="E84" s="363"/>
      <c r="F84" s="279"/>
      <c r="G84" s="279"/>
      <c r="H84" s="166"/>
      <c r="I84" s="363"/>
      <c r="J84" s="288"/>
      <c r="K84" s="288"/>
      <c r="L84" s="166"/>
      <c r="M84" s="23"/>
    </row>
    <row r="85" spans="1:13" x14ac:dyDescent="0.2">
      <c r="A85" s="294" t="s">
        <v>13</v>
      </c>
      <c r="B85" s="233"/>
      <c r="C85" s="287"/>
      <c r="D85" s="166"/>
      <c r="E85" s="363"/>
      <c r="F85" s="279"/>
      <c r="G85" s="279"/>
      <c r="H85" s="166"/>
      <c r="I85" s="363"/>
      <c r="J85" s="288"/>
      <c r="K85" s="288"/>
      <c r="L85" s="166"/>
      <c r="M85" s="23"/>
    </row>
    <row r="86" spans="1:13" ht="15.75" x14ac:dyDescent="0.2">
      <c r="A86" s="21" t="s">
        <v>389</v>
      </c>
      <c r="B86" s="232"/>
      <c r="C86" s="145"/>
      <c r="D86" s="166"/>
      <c r="E86" s="27"/>
      <c r="F86" s="232"/>
      <c r="G86" s="145"/>
      <c r="H86" s="166"/>
      <c r="I86" s="27"/>
      <c r="J86" s="285"/>
      <c r="K86" s="44"/>
      <c r="L86" s="252"/>
      <c r="M86" s="27"/>
    </row>
    <row r="87" spans="1:13" ht="15.75" x14ac:dyDescent="0.2">
      <c r="A87" s="13" t="s">
        <v>371</v>
      </c>
      <c r="B87" s="350"/>
      <c r="C87" s="350"/>
      <c r="D87" s="171"/>
      <c r="E87" s="11"/>
      <c r="F87" s="349"/>
      <c r="G87" s="349"/>
      <c r="H87" s="171"/>
      <c r="I87" s="11"/>
      <c r="J87" s="307"/>
      <c r="K87" s="234"/>
      <c r="L87" s="371"/>
      <c r="M87" s="11"/>
    </row>
    <row r="88" spans="1:13" x14ac:dyDescent="0.2">
      <c r="A88" s="21" t="s">
        <v>9</v>
      </c>
      <c r="B88" s="232"/>
      <c r="C88" s="145"/>
      <c r="D88" s="166"/>
      <c r="E88" s="27"/>
      <c r="F88" s="232"/>
      <c r="G88" s="145"/>
      <c r="H88" s="166"/>
      <c r="I88" s="27"/>
      <c r="J88" s="285"/>
      <c r="K88" s="44"/>
      <c r="L88" s="252"/>
      <c r="M88" s="27"/>
    </row>
    <row r="89" spans="1:13" x14ac:dyDescent="0.2">
      <c r="A89" s="21" t="s">
        <v>10</v>
      </c>
      <c r="B89" s="232"/>
      <c r="C89" s="145"/>
      <c r="D89" s="166"/>
      <c r="E89" s="27"/>
      <c r="F89" s="232"/>
      <c r="G89" s="145"/>
      <c r="H89" s="166"/>
      <c r="I89" s="27"/>
      <c r="J89" s="285"/>
      <c r="K89" s="44"/>
      <c r="L89" s="252"/>
      <c r="M89" s="27"/>
    </row>
    <row r="90" spans="1:13" ht="15.75" x14ac:dyDescent="0.2">
      <c r="A90" s="294" t="s">
        <v>386</v>
      </c>
      <c r="B90" s="279"/>
      <c r="C90" s="279"/>
      <c r="D90" s="166"/>
      <c r="E90" s="363"/>
      <c r="F90" s="279"/>
      <c r="G90" s="279"/>
      <c r="H90" s="166"/>
      <c r="I90" s="363"/>
      <c r="J90" s="288"/>
      <c r="K90" s="288"/>
      <c r="L90" s="166"/>
      <c r="M90" s="23"/>
    </row>
    <row r="91" spans="1:13" x14ac:dyDescent="0.2">
      <c r="A91" s="294" t="s">
        <v>12</v>
      </c>
      <c r="B91" s="233"/>
      <c r="C91" s="287"/>
      <c r="D91" s="166"/>
      <c r="E91" s="363"/>
      <c r="F91" s="279"/>
      <c r="G91" s="279"/>
      <c r="H91" s="166"/>
      <c r="I91" s="363"/>
      <c r="J91" s="288"/>
      <c r="K91" s="288"/>
      <c r="L91" s="166"/>
      <c r="M91" s="23"/>
    </row>
    <row r="92" spans="1:13" x14ac:dyDescent="0.2">
      <c r="A92" s="294" t="s">
        <v>13</v>
      </c>
      <c r="B92" s="233"/>
      <c r="C92" s="287"/>
      <c r="D92" s="166"/>
      <c r="E92" s="363"/>
      <c r="F92" s="279"/>
      <c r="G92" s="279"/>
      <c r="H92" s="166"/>
      <c r="I92" s="363"/>
      <c r="J92" s="288"/>
      <c r="K92" s="288"/>
      <c r="L92" s="166"/>
      <c r="M92" s="23"/>
    </row>
    <row r="93" spans="1:13" ht="15.75" x14ac:dyDescent="0.2">
      <c r="A93" s="294" t="s">
        <v>387</v>
      </c>
      <c r="B93" s="279"/>
      <c r="C93" s="279"/>
      <c r="D93" s="166"/>
      <c r="E93" s="363"/>
      <c r="F93" s="279"/>
      <c r="G93" s="279"/>
      <c r="H93" s="166"/>
      <c r="I93" s="363"/>
      <c r="J93" s="288"/>
      <c r="K93" s="288"/>
      <c r="L93" s="166"/>
      <c r="M93" s="23"/>
    </row>
    <row r="94" spans="1:13" x14ac:dyDescent="0.2">
      <c r="A94" s="294" t="s">
        <v>12</v>
      </c>
      <c r="B94" s="233"/>
      <c r="C94" s="287"/>
      <c r="D94" s="166"/>
      <c r="E94" s="363"/>
      <c r="F94" s="279"/>
      <c r="G94" s="279"/>
      <c r="H94" s="166"/>
      <c r="I94" s="363"/>
      <c r="J94" s="288"/>
      <c r="K94" s="288"/>
      <c r="L94" s="166"/>
      <c r="M94" s="23"/>
    </row>
    <row r="95" spans="1:13" x14ac:dyDescent="0.2">
      <c r="A95" s="294" t="s">
        <v>13</v>
      </c>
      <c r="B95" s="233"/>
      <c r="C95" s="287"/>
      <c r="D95" s="166"/>
      <c r="E95" s="363"/>
      <c r="F95" s="279"/>
      <c r="G95" s="279"/>
      <c r="H95" s="166"/>
      <c r="I95" s="363"/>
      <c r="J95" s="288"/>
      <c r="K95" s="288"/>
      <c r="L95" s="166"/>
      <c r="M95" s="23"/>
    </row>
    <row r="96" spans="1:13" x14ac:dyDescent="0.2">
      <c r="A96" s="21" t="s">
        <v>354</v>
      </c>
      <c r="B96" s="232"/>
      <c r="C96" s="145"/>
      <c r="D96" s="166"/>
      <c r="E96" s="27"/>
      <c r="F96" s="232"/>
      <c r="G96" s="145"/>
      <c r="H96" s="166"/>
      <c r="I96" s="27"/>
      <c r="J96" s="285"/>
      <c r="K96" s="44"/>
      <c r="L96" s="252"/>
      <c r="M96" s="27"/>
    </row>
    <row r="97" spans="1:13" x14ac:dyDescent="0.2">
      <c r="A97" s="21" t="s">
        <v>353</v>
      </c>
      <c r="B97" s="232"/>
      <c r="C97" s="145"/>
      <c r="D97" s="166"/>
      <c r="E97" s="27"/>
      <c r="F97" s="232"/>
      <c r="G97" s="145"/>
      <c r="H97" s="166"/>
      <c r="I97" s="27"/>
      <c r="J97" s="285"/>
      <c r="K97" s="44"/>
      <c r="L97" s="252"/>
      <c r="M97" s="27"/>
    </row>
    <row r="98" spans="1:13" ht="15.75" x14ac:dyDescent="0.2">
      <c r="A98" s="21" t="s">
        <v>388</v>
      </c>
      <c r="B98" s="232"/>
      <c r="C98" s="232"/>
      <c r="D98" s="166"/>
      <c r="E98" s="27"/>
      <c r="F98" s="290"/>
      <c r="G98" s="290"/>
      <c r="H98" s="166"/>
      <c r="I98" s="27"/>
      <c r="J98" s="285"/>
      <c r="K98" s="44"/>
      <c r="L98" s="252"/>
      <c r="M98" s="27"/>
    </row>
    <row r="99" spans="1:13" x14ac:dyDescent="0.2">
      <c r="A99" s="21" t="s">
        <v>9</v>
      </c>
      <c r="B99" s="290"/>
      <c r="C99" s="291"/>
      <c r="D99" s="166"/>
      <c r="E99" s="27"/>
      <c r="F99" s="232"/>
      <c r="G99" s="145"/>
      <c r="H99" s="166"/>
      <c r="I99" s="27"/>
      <c r="J99" s="285"/>
      <c r="K99" s="44"/>
      <c r="L99" s="252"/>
      <c r="M99" s="27"/>
    </row>
    <row r="100" spans="1:13" x14ac:dyDescent="0.2">
      <c r="A100" s="21" t="s">
        <v>10</v>
      </c>
      <c r="B100" s="290"/>
      <c r="C100" s="291"/>
      <c r="D100" s="166"/>
      <c r="E100" s="27"/>
      <c r="F100" s="232"/>
      <c r="G100" s="232"/>
      <c r="H100" s="166"/>
      <c r="I100" s="27"/>
      <c r="J100" s="285"/>
      <c r="K100" s="44"/>
      <c r="L100" s="252"/>
      <c r="M100" s="27"/>
    </row>
    <row r="101" spans="1:13" ht="15.75" x14ac:dyDescent="0.2">
      <c r="A101" s="294" t="s">
        <v>386</v>
      </c>
      <c r="B101" s="279"/>
      <c r="C101" s="279"/>
      <c r="D101" s="166"/>
      <c r="E101" s="363"/>
      <c r="F101" s="279"/>
      <c r="G101" s="279"/>
      <c r="H101" s="166"/>
      <c r="I101" s="363"/>
      <c r="J101" s="288"/>
      <c r="K101" s="288"/>
      <c r="L101" s="166"/>
      <c r="M101" s="23"/>
    </row>
    <row r="102" spans="1:13" x14ac:dyDescent="0.2">
      <c r="A102" s="294" t="s">
        <v>12</v>
      </c>
      <c r="B102" s="233"/>
      <c r="C102" s="287"/>
      <c r="D102" s="166"/>
      <c r="E102" s="363"/>
      <c r="F102" s="279"/>
      <c r="G102" s="279"/>
      <c r="H102" s="166"/>
      <c r="I102" s="363"/>
      <c r="J102" s="288"/>
      <c r="K102" s="288"/>
      <c r="L102" s="166"/>
      <c r="M102" s="23"/>
    </row>
    <row r="103" spans="1:13" x14ac:dyDescent="0.2">
      <c r="A103" s="294" t="s">
        <v>13</v>
      </c>
      <c r="B103" s="233"/>
      <c r="C103" s="287"/>
      <c r="D103" s="166"/>
      <c r="E103" s="363"/>
      <c r="F103" s="279"/>
      <c r="G103" s="279"/>
      <c r="H103" s="166"/>
      <c r="I103" s="363"/>
      <c r="J103" s="288"/>
      <c r="K103" s="288"/>
      <c r="L103" s="166"/>
      <c r="M103" s="23"/>
    </row>
    <row r="104" spans="1:13" ht="15.75" x14ac:dyDescent="0.2">
      <c r="A104" s="294" t="s">
        <v>387</v>
      </c>
      <c r="B104" s="279"/>
      <c r="C104" s="279"/>
      <c r="D104" s="166"/>
      <c r="E104" s="363"/>
      <c r="F104" s="279"/>
      <c r="G104" s="279"/>
      <c r="H104" s="166"/>
      <c r="I104" s="363"/>
      <c r="J104" s="288"/>
      <c r="K104" s="288"/>
      <c r="L104" s="166"/>
      <c r="M104" s="23"/>
    </row>
    <row r="105" spans="1:13" x14ac:dyDescent="0.2">
      <c r="A105" s="294" t="s">
        <v>12</v>
      </c>
      <c r="B105" s="233"/>
      <c r="C105" s="287"/>
      <c r="D105" s="166"/>
      <c r="E105" s="363"/>
      <c r="F105" s="279"/>
      <c r="G105" s="279"/>
      <c r="H105" s="166"/>
      <c r="I105" s="363"/>
      <c r="J105" s="288"/>
      <c r="K105" s="288"/>
      <c r="L105" s="166"/>
      <c r="M105" s="23"/>
    </row>
    <row r="106" spans="1:13" x14ac:dyDescent="0.2">
      <c r="A106" s="294" t="s">
        <v>13</v>
      </c>
      <c r="B106" s="233"/>
      <c r="C106" s="287"/>
      <c r="D106" s="166"/>
      <c r="E106" s="363"/>
      <c r="F106" s="279"/>
      <c r="G106" s="279"/>
      <c r="H106" s="166"/>
      <c r="I106" s="363"/>
      <c r="J106" s="288"/>
      <c r="K106" s="288"/>
      <c r="L106" s="166"/>
      <c r="M106" s="23"/>
    </row>
    <row r="107" spans="1:13" ht="15.75" x14ac:dyDescent="0.2">
      <c r="A107" s="21" t="s">
        <v>389</v>
      </c>
      <c r="B107" s="232"/>
      <c r="C107" s="145"/>
      <c r="D107" s="166"/>
      <c r="E107" s="27"/>
      <c r="F107" s="232"/>
      <c r="G107" s="145"/>
      <c r="H107" s="166"/>
      <c r="I107" s="27"/>
      <c r="J107" s="285"/>
      <c r="K107" s="44"/>
      <c r="L107" s="252"/>
      <c r="M107" s="27"/>
    </row>
    <row r="108" spans="1:13" ht="15.75" x14ac:dyDescent="0.2">
      <c r="A108" s="21" t="s">
        <v>390</v>
      </c>
      <c r="B108" s="232"/>
      <c r="C108" s="232"/>
      <c r="D108" s="166"/>
      <c r="E108" s="27"/>
      <c r="F108" s="232"/>
      <c r="G108" s="232"/>
      <c r="H108" s="166"/>
      <c r="I108" s="27"/>
      <c r="J108" s="285"/>
      <c r="K108" s="44"/>
      <c r="L108" s="252"/>
      <c r="M108" s="27"/>
    </row>
    <row r="109" spans="1:13" ht="15.75" x14ac:dyDescent="0.2">
      <c r="A109" s="21" t="s">
        <v>391</v>
      </c>
      <c r="B109" s="232"/>
      <c r="C109" s="232"/>
      <c r="D109" s="166"/>
      <c r="E109" s="27"/>
      <c r="F109" s="232"/>
      <c r="G109" s="232"/>
      <c r="H109" s="166"/>
      <c r="I109" s="27"/>
      <c r="J109" s="285"/>
      <c r="K109" s="44"/>
      <c r="L109" s="252"/>
      <c r="M109" s="27"/>
    </row>
    <row r="110" spans="1:13" ht="15.75" x14ac:dyDescent="0.2">
      <c r="A110" s="21" t="s">
        <v>392</v>
      </c>
      <c r="B110" s="232"/>
      <c r="C110" s="232"/>
      <c r="D110" s="166"/>
      <c r="E110" s="27"/>
      <c r="F110" s="232"/>
      <c r="G110" s="232"/>
      <c r="H110" s="166"/>
      <c r="I110" s="27"/>
      <c r="J110" s="285"/>
      <c r="K110" s="44"/>
      <c r="L110" s="252"/>
      <c r="M110" s="27"/>
    </row>
    <row r="111" spans="1:13" ht="15.75" x14ac:dyDescent="0.2">
      <c r="A111" s="13" t="s">
        <v>372</v>
      </c>
      <c r="B111" s="306"/>
      <c r="C111" s="159"/>
      <c r="D111" s="171"/>
      <c r="E111" s="11"/>
      <c r="F111" s="306"/>
      <c r="G111" s="159"/>
      <c r="H111" s="171"/>
      <c r="I111" s="11"/>
      <c r="J111" s="307"/>
      <c r="K111" s="234"/>
      <c r="L111" s="371"/>
      <c r="M111" s="11"/>
    </row>
    <row r="112" spans="1:13" x14ac:dyDescent="0.2">
      <c r="A112" s="21" t="s">
        <v>9</v>
      </c>
      <c r="B112" s="232"/>
      <c r="C112" s="145"/>
      <c r="D112" s="166"/>
      <c r="E112" s="27"/>
      <c r="F112" s="232"/>
      <c r="G112" s="145"/>
      <c r="H112" s="166"/>
      <c r="I112" s="27"/>
      <c r="J112" s="285"/>
      <c r="K112" s="44"/>
      <c r="L112" s="252"/>
      <c r="M112" s="27"/>
    </row>
    <row r="113" spans="1:14" x14ac:dyDescent="0.2">
      <c r="A113" s="21" t="s">
        <v>10</v>
      </c>
      <c r="B113" s="232"/>
      <c r="C113" s="145"/>
      <c r="D113" s="166"/>
      <c r="E113" s="27"/>
      <c r="F113" s="232"/>
      <c r="G113" s="145"/>
      <c r="H113" s="166"/>
      <c r="I113" s="27"/>
      <c r="J113" s="285"/>
      <c r="K113" s="44"/>
      <c r="L113" s="252"/>
      <c r="M113" s="27"/>
    </row>
    <row r="114" spans="1:14" x14ac:dyDescent="0.2">
      <c r="A114" s="21" t="s">
        <v>26</v>
      </c>
      <c r="B114" s="232"/>
      <c r="C114" s="145"/>
      <c r="D114" s="166"/>
      <c r="E114" s="27"/>
      <c r="F114" s="232"/>
      <c r="G114" s="145"/>
      <c r="H114" s="166"/>
      <c r="I114" s="27"/>
      <c r="J114" s="285"/>
      <c r="K114" s="44"/>
      <c r="L114" s="252"/>
      <c r="M114" s="27"/>
    </row>
    <row r="115" spans="1:14" x14ac:dyDescent="0.2">
      <c r="A115" s="294" t="s">
        <v>15</v>
      </c>
      <c r="B115" s="279"/>
      <c r="C115" s="279"/>
      <c r="D115" s="166"/>
      <c r="E115" s="363"/>
      <c r="F115" s="279"/>
      <c r="G115" s="279"/>
      <c r="H115" s="166"/>
      <c r="I115" s="363"/>
      <c r="J115" s="288"/>
      <c r="K115" s="288"/>
      <c r="L115" s="166"/>
      <c r="M115" s="23"/>
    </row>
    <row r="116" spans="1:14" ht="15.75" x14ac:dyDescent="0.2">
      <c r="A116" s="21" t="s">
        <v>393</v>
      </c>
      <c r="B116" s="232"/>
      <c r="C116" s="232"/>
      <c r="D116" s="166"/>
      <c r="E116" s="27"/>
      <c r="F116" s="232"/>
      <c r="G116" s="232"/>
      <c r="H116" s="166"/>
      <c r="I116" s="27"/>
      <c r="J116" s="285"/>
      <c r="K116" s="44"/>
      <c r="L116" s="252"/>
      <c r="M116" s="27"/>
    </row>
    <row r="117" spans="1:14" ht="15.75" x14ac:dyDescent="0.2">
      <c r="A117" s="21" t="s">
        <v>394</v>
      </c>
      <c r="B117" s="232"/>
      <c r="C117" s="232"/>
      <c r="D117" s="166"/>
      <c r="E117" s="27"/>
      <c r="F117" s="232"/>
      <c r="G117" s="232"/>
      <c r="H117" s="166"/>
      <c r="I117" s="27"/>
      <c r="J117" s="285"/>
      <c r="K117" s="44"/>
      <c r="L117" s="252"/>
      <c r="M117" s="27"/>
    </row>
    <row r="118" spans="1:14" ht="15.75" x14ac:dyDescent="0.2">
      <c r="A118" s="21" t="s">
        <v>392</v>
      </c>
      <c r="B118" s="232"/>
      <c r="C118" s="232"/>
      <c r="D118" s="166"/>
      <c r="E118" s="27"/>
      <c r="F118" s="232"/>
      <c r="G118" s="232"/>
      <c r="H118" s="166"/>
      <c r="I118" s="27"/>
      <c r="J118" s="285"/>
      <c r="K118" s="44"/>
      <c r="L118" s="252"/>
      <c r="M118" s="27"/>
    </row>
    <row r="119" spans="1:14" ht="15.75" x14ac:dyDescent="0.2">
      <c r="A119" s="13" t="s">
        <v>373</v>
      </c>
      <c r="B119" s="306"/>
      <c r="C119" s="159"/>
      <c r="D119" s="171"/>
      <c r="E119" s="11"/>
      <c r="F119" s="306"/>
      <c r="G119" s="159"/>
      <c r="H119" s="171"/>
      <c r="I119" s="11"/>
      <c r="J119" s="307"/>
      <c r="K119" s="234"/>
      <c r="L119" s="371"/>
      <c r="M119" s="11"/>
    </row>
    <row r="120" spans="1:14" x14ac:dyDescent="0.2">
      <c r="A120" s="21" t="s">
        <v>9</v>
      </c>
      <c r="B120" s="232"/>
      <c r="C120" s="145"/>
      <c r="D120" s="166"/>
      <c r="E120" s="27"/>
      <c r="F120" s="232"/>
      <c r="G120" s="145"/>
      <c r="H120" s="166"/>
      <c r="I120" s="27"/>
      <c r="J120" s="285"/>
      <c r="K120" s="44"/>
      <c r="L120" s="252"/>
      <c r="M120" s="27"/>
    </row>
    <row r="121" spans="1:14" x14ac:dyDescent="0.2">
      <c r="A121" s="21" t="s">
        <v>10</v>
      </c>
      <c r="B121" s="232"/>
      <c r="C121" s="145"/>
      <c r="D121" s="166"/>
      <c r="E121" s="27"/>
      <c r="F121" s="232"/>
      <c r="G121" s="145"/>
      <c r="H121" s="166"/>
      <c r="I121" s="27"/>
      <c r="J121" s="285"/>
      <c r="K121" s="44"/>
      <c r="L121" s="252"/>
      <c r="M121" s="27"/>
    </row>
    <row r="122" spans="1:14" x14ac:dyDescent="0.2">
      <c r="A122" s="21" t="s">
        <v>26</v>
      </c>
      <c r="B122" s="232"/>
      <c r="C122" s="145"/>
      <c r="D122" s="166"/>
      <c r="E122" s="27"/>
      <c r="F122" s="232"/>
      <c r="G122" s="145"/>
      <c r="H122" s="166"/>
      <c r="I122" s="27"/>
      <c r="J122" s="285"/>
      <c r="K122" s="44"/>
      <c r="L122" s="252"/>
      <c r="M122" s="27"/>
    </row>
    <row r="123" spans="1:14" x14ac:dyDescent="0.2">
      <c r="A123" s="294" t="s">
        <v>14</v>
      </c>
      <c r="B123" s="279"/>
      <c r="C123" s="279"/>
      <c r="D123" s="166"/>
      <c r="E123" s="363"/>
      <c r="F123" s="279"/>
      <c r="G123" s="279"/>
      <c r="H123" s="166"/>
      <c r="I123" s="363"/>
      <c r="J123" s="288"/>
      <c r="K123" s="288"/>
      <c r="L123" s="166"/>
      <c r="M123" s="23"/>
    </row>
    <row r="124" spans="1:14" ht="15.75" x14ac:dyDescent="0.2">
      <c r="A124" s="21" t="s">
        <v>399</v>
      </c>
      <c r="B124" s="232"/>
      <c r="C124" s="232"/>
      <c r="D124" s="166"/>
      <c r="E124" s="27"/>
      <c r="F124" s="232"/>
      <c r="G124" s="232"/>
      <c r="H124" s="166"/>
      <c r="I124" s="27"/>
      <c r="J124" s="285"/>
      <c r="K124" s="44"/>
      <c r="L124" s="252"/>
      <c r="M124" s="27"/>
    </row>
    <row r="125" spans="1:14" ht="15.75" x14ac:dyDescent="0.2">
      <c r="A125" s="21" t="s">
        <v>391</v>
      </c>
      <c r="B125" s="232"/>
      <c r="C125" s="232"/>
      <c r="D125" s="166"/>
      <c r="E125" s="27"/>
      <c r="F125" s="232"/>
      <c r="G125" s="232"/>
      <c r="H125" s="166"/>
      <c r="I125" s="27"/>
      <c r="J125" s="285"/>
      <c r="K125" s="44"/>
      <c r="L125" s="252"/>
      <c r="M125" s="27"/>
    </row>
    <row r="126" spans="1:14" ht="15.75" x14ac:dyDescent="0.2">
      <c r="A126" s="10" t="s">
        <v>392</v>
      </c>
      <c r="B126" s="45"/>
      <c r="C126" s="45"/>
      <c r="D126" s="167"/>
      <c r="E126" s="364"/>
      <c r="F126" s="45"/>
      <c r="G126" s="45"/>
      <c r="H126" s="167"/>
      <c r="I126" s="22"/>
      <c r="J126" s="286"/>
      <c r="K126" s="45"/>
      <c r="L126" s="253"/>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95"/>
      <c r="C130" s="695"/>
      <c r="D130" s="695"/>
      <c r="E130" s="297"/>
      <c r="F130" s="695"/>
      <c r="G130" s="695"/>
      <c r="H130" s="695"/>
      <c r="I130" s="297"/>
      <c r="J130" s="695"/>
      <c r="K130" s="695"/>
      <c r="L130" s="695"/>
      <c r="M130" s="297"/>
    </row>
    <row r="131" spans="1:14" s="3" customFormat="1" x14ac:dyDescent="0.2">
      <c r="A131" s="144"/>
      <c r="B131" s="696" t="s">
        <v>0</v>
      </c>
      <c r="C131" s="697"/>
      <c r="D131" s="697"/>
      <c r="E131" s="299"/>
      <c r="F131" s="696" t="s">
        <v>1</v>
      </c>
      <c r="G131" s="697"/>
      <c r="H131" s="697"/>
      <c r="I131" s="302"/>
      <c r="J131" s="696" t="s">
        <v>2</v>
      </c>
      <c r="K131" s="697"/>
      <c r="L131" s="697"/>
      <c r="M131" s="302"/>
      <c r="N131" s="148"/>
    </row>
    <row r="132" spans="1:14" s="3" customFormat="1" x14ac:dyDescent="0.2">
      <c r="A132" s="140"/>
      <c r="B132" s="152" t="s">
        <v>422</v>
      </c>
      <c r="C132" s="152" t="s">
        <v>423</v>
      </c>
      <c r="D132" s="243" t="s">
        <v>3</v>
      </c>
      <c r="E132" s="303" t="s">
        <v>29</v>
      </c>
      <c r="F132" s="152" t="s">
        <v>422</v>
      </c>
      <c r="G132" s="152" t="s">
        <v>423</v>
      </c>
      <c r="H132" s="205" t="s">
        <v>3</v>
      </c>
      <c r="I132" s="162" t="s">
        <v>29</v>
      </c>
      <c r="J132" s="152" t="s">
        <v>422</v>
      </c>
      <c r="K132" s="152" t="s">
        <v>423</v>
      </c>
      <c r="L132" s="244" t="s">
        <v>3</v>
      </c>
      <c r="M132" s="162" t="s">
        <v>29</v>
      </c>
      <c r="N132" s="148"/>
    </row>
    <row r="133" spans="1:14" s="3" customFormat="1" x14ac:dyDescent="0.2">
      <c r="A133" s="666"/>
      <c r="B133" s="156"/>
      <c r="C133" s="156"/>
      <c r="D133" s="244" t="s">
        <v>4</v>
      </c>
      <c r="E133" s="156" t="s">
        <v>30</v>
      </c>
      <c r="F133" s="161"/>
      <c r="G133" s="161"/>
      <c r="H133" s="205" t="s">
        <v>4</v>
      </c>
      <c r="I133" s="156" t="s">
        <v>30</v>
      </c>
      <c r="J133" s="156"/>
      <c r="K133" s="156"/>
      <c r="L133" s="150" t="s">
        <v>4</v>
      </c>
      <c r="M133" s="156" t="s">
        <v>30</v>
      </c>
      <c r="N133" s="148"/>
    </row>
    <row r="134" spans="1:14" s="3" customFormat="1" ht="15.75" x14ac:dyDescent="0.2">
      <c r="A134" s="14" t="s">
        <v>395</v>
      </c>
      <c r="B134" s="234"/>
      <c r="C134" s="307"/>
      <c r="D134" s="347"/>
      <c r="E134" s="11"/>
      <c r="F134" s="314"/>
      <c r="G134" s="315"/>
      <c r="H134" s="374"/>
      <c r="I134" s="24"/>
      <c r="J134" s="316"/>
      <c r="K134" s="316"/>
      <c r="L134" s="370"/>
      <c r="M134" s="11"/>
      <c r="N134" s="148"/>
    </row>
    <row r="135" spans="1:14" s="3" customFormat="1" ht="15.75" x14ac:dyDescent="0.2">
      <c r="A135" s="13" t="s">
        <v>400</v>
      </c>
      <c r="B135" s="234"/>
      <c r="C135" s="307"/>
      <c r="D135" s="171"/>
      <c r="E135" s="11"/>
      <c r="F135" s="234"/>
      <c r="G135" s="307"/>
      <c r="H135" s="375"/>
      <c r="I135" s="24"/>
      <c r="J135" s="306"/>
      <c r="K135" s="306"/>
      <c r="L135" s="371"/>
      <c r="M135" s="11"/>
      <c r="N135" s="148"/>
    </row>
    <row r="136" spans="1:14" s="3" customFormat="1" ht="15.75" x14ac:dyDescent="0.2">
      <c r="A136" s="13" t="s">
        <v>397</v>
      </c>
      <c r="B136" s="234"/>
      <c r="C136" s="307"/>
      <c r="D136" s="171"/>
      <c r="E136" s="11"/>
      <c r="F136" s="234"/>
      <c r="G136" s="307"/>
      <c r="H136" s="375"/>
      <c r="I136" s="24"/>
      <c r="J136" s="306"/>
      <c r="K136" s="306"/>
      <c r="L136" s="371"/>
      <c r="M136" s="11"/>
      <c r="N136" s="148"/>
    </row>
    <row r="137" spans="1:14" s="3" customFormat="1" ht="15.75" x14ac:dyDescent="0.2">
      <c r="A137" s="41" t="s">
        <v>398</v>
      </c>
      <c r="B137" s="274"/>
      <c r="C137" s="313"/>
      <c r="D137" s="169"/>
      <c r="E137" s="9"/>
      <c r="F137" s="274"/>
      <c r="G137" s="313"/>
      <c r="H137" s="376"/>
      <c r="I137" s="36"/>
      <c r="J137" s="312"/>
      <c r="K137" s="312"/>
      <c r="L137" s="372"/>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337" priority="132">
      <formula>kvartal &lt; 4</formula>
    </cfRule>
  </conditionalFormatting>
  <conditionalFormatting sqref="B69">
    <cfRule type="expression" dxfId="336" priority="100">
      <formula>kvartal &lt; 4</formula>
    </cfRule>
  </conditionalFormatting>
  <conditionalFormatting sqref="C69">
    <cfRule type="expression" dxfId="335" priority="99">
      <formula>kvartal &lt; 4</formula>
    </cfRule>
  </conditionalFormatting>
  <conditionalFormatting sqref="B72">
    <cfRule type="expression" dxfId="334" priority="98">
      <formula>kvartal &lt; 4</formula>
    </cfRule>
  </conditionalFormatting>
  <conditionalFormatting sqref="C72">
    <cfRule type="expression" dxfId="333" priority="97">
      <formula>kvartal &lt; 4</formula>
    </cfRule>
  </conditionalFormatting>
  <conditionalFormatting sqref="B80">
    <cfRule type="expression" dxfId="332" priority="96">
      <formula>kvartal &lt; 4</formula>
    </cfRule>
  </conditionalFormatting>
  <conditionalFormatting sqref="C80">
    <cfRule type="expression" dxfId="331" priority="95">
      <formula>kvartal &lt; 4</formula>
    </cfRule>
  </conditionalFormatting>
  <conditionalFormatting sqref="B83">
    <cfRule type="expression" dxfId="330" priority="94">
      <formula>kvartal &lt; 4</formula>
    </cfRule>
  </conditionalFormatting>
  <conditionalFormatting sqref="C83">
    <cfRule type="expression" dxfId="329" priority="93">
      <formula>kvartal &lt; 4</formula>
    </cfRule>
  </conditionalFormatting>
  <conditionalFormatting sqref="B90">
    <cfRule type="expression" dxfId="328" priority="84">
      <formula>kvartal &lt; 4</formula>
    </cfRule>
  </conditionalFormatting>
  <conditionalFormatting sqref="C90">
    <cfRule type="expression" dxfId="327" priority="83">
      <formula>kvartal &lt; 4</formula>
    </cfRule>
  </conditionalFormatting>
  <conditionalFormatting sqref="B93">
    <cfRule type="expression" dxfId="326" priority="82">
      <formula>kvartal &lt; 4</formula>
    </cfRule>
  </conditionalFormatting>
  <conditionalFormatting sqref="C93">
    <cfRule type="expression" dxfId="325" priority="81">
      <formula>kvartal &lt; 4</formula>
    </cfRule>
  </conditionalFormatting>
  <conditionalFormatting sqref="B101">
    <cfRule type="expression" dxfId="324" priority="80">
      <formula>kvartal &lt; 4</formula>
    </cfRule>
  </conditionalFormatting>
  <conditionalFormatting sqref="C101">
    <cfRule type="expression" dxfId="323" priority="79">
      <formula>kvartal &lt; 4</formula>
    </cfRule>
  </conditionalFormatting>
  <conditionalFormatting sqref="B104">
    <cfRule type="expression" dxfId="322" priority="78">
      <formula>kvartal &lt; 4</formula>
    </cfRule>
  </conditionalFormatting>
  <conditionalFormatting sqref="C104">
    <cfRule type="expression" dxfId="321" priority="77">
      <formula>kvartal &lt; 4</formula>
    </cfRule>
  </conditionalFormatting>
  <conditionalFormatting sqref="B115">
    <cfRule type="expression" dxfId="320" priority="76">
      <formula>kvartal &lt; 4</formula>
    </cfRule>
  </conditionalFormatting>
  <conditionalFormatting sqref="C115">
    <cfRule type="expression" dxfId="319" priority="75">
      <formula>kvartal &lt; 4</formula>
    </cfRule>
  </conditionalFormatting>
  <conditionalFormatting sqref="B123">
    <cfRule type="expression" dxfId="318" priority="74">
      <formula>kvartal &lt; 4</formula>
    </cfRule>
  </conditionalFormatting>
  <conditionalFormatting sqref="C123">
    <cfRule type="expression" dxfId="317" priority="73">
      <formula>kvartal &lt; 4</formula>
    </cfRule>
  </conditionalFormatting>
  <conditionalFormatting sqref="F70">
    <cfRule type="expression" dxfId="316" priority="72">
      <formula>kvartal &lt; 4</formula>
    </cfRule>
  </conditionalFormatting>
  <conditionalFormatting sqref="G70">
    <cfRule type="expression" dxfId="315" priority="71">
      <formula>kvartal &lt; 4</formula>
    </cfRule>
  </conditionalFormatting>
  <conditionalFormatting sqref="F71:G71">
    <cfRule type="expression" dxfId="314" priority="70">
      <formula>kvartal &lt; 4</formula>
    </cfRule>
  </conditionalFormatting>
  <conditionalFormatting sqref="F73:G74">
    <cfRule type="expression" dxfId="313" priority="69">
      <formula>kvartal &lt; 4</formula>
    </cfRule>
  </conditionalFormatting>
  <conditionalFormatting sqref="F81:G82">
    <cfRule type="expression" dxfId="312" priority="68">
      <formula>kvartal &lt; 4</formula>
    </cfRule>
  </conditionalFormatting>
  <conditionalFormatting sqref="F84:G85">
    <cfRule type="expression" dxfId="311" priority="67">
      <formula>kvartal &lt; 4</formula>
    </cfRule>
  </conditionalFormatting>
  <conditionalFormatting sqref="F91:G92">
    <cfRule type="expression" dxfId="310" priority="62">
      <formula>kvartal &lt; 4</formula>
    </cfRule>
  </conditionalFormatting>
  <conditionalFormatting sqref="F94:G95">
    <cfRule type="expression" dxfId="309" priority="61">
      <formula>kvartal &lt; 4</formula>
    </cfRule>
  </conditionalFormatting>
  <conditionalFormatting sqref="F102:G103">
    <cfRule type="expression" dxfId="308" priority="60">
      <formula>kvartal &lt; 4</formula>
    </cfRule>
  </conditionalFormatting>
  <conditionalFormatting sqref="F105:G106">
    <cfRule type="expression" dxfId="307" priority="59">
      <formula>kvartal &lt; 4</formula>
    </cfRule>
  </conditionalFormatting>
  <conditionalFormatting sqref="F115">
    <cfRule type="expression" dxfId="306" priority="58">
      <formula>kvartal &lt; 4</formula>
    </cfRule>
  </conditionalFormatting>
  <conditionalFormatting sqref="G115">
    <cfRule type="expression" dxfId="305" priority="57">
      <formula>kvartal &lt; 4</formula>
    </cfRule>
  </conditionalFormatting>
  <conditionalFormatting sqref="F123:G123">
    <cfRule type="expression" dxfId="304" priority="56">
      <formula>kvartal &lt; 4</formula>
    </cfRule>
  </conditionalFormatting>
  <conditionalFormatting sqref="F69:G69">
    <cfRule type="expression" dxfId="303" priority="55">
      <formula>kvartal &lt; 4</formula>
    </cfRule>
  </conditionalFormatting>
  <conditionalFormatting sqref="F72:G72">
    <cfRule type="expression" dxfId="302" priority="54">
      <formula>kvartal &lt; 4</formula>
    </cfRule>
  </conditionalFormatting>
  <conditionalFormatting sqref="F80:G80">
    <cfRule type="expression" dxfId="301" priority="53">
      <formula>kvartal &lt; 4</formula>
    </cfRule>
  </conditionalFormatting>
  <conditionalFormatting sqref="F83:G83">
    <cfRule type="expression" dxfId="300" priority="52">
      <formula>kvartal &lt; 4</formula>
    </cfRule>
  </conditionalFormatting>
  <conditionalFormatting sqref="F90:G90">
    <cfRule type="expression" dxfId="299" priority="46">
      <formula>kvartal &lt; 4</formula>
    </cfRule>
  </conditionalFormatting>
  <conditionalFormatting sqref="F93">
    <cfRule type="expression" dxfId="298" priority="45">
      <formula>kvartal &lt; 4</formula>
    </cfRule>
  </conditionalFormatting>
  <conditionalFormatting sqref="G93">
    <cfRule type="expression" dxfId="297" priority="44">
      <formula>kvartal &lt; 4</formula>
    </cfRule>
  </conditionalFormatting>
  <conditionalFormatting sqref="F101">
    <cfRule type="expression" dxfId="296" priority="43">
      <formula>kvartal &lt; 4</formula>
    </cfRule>
  </conditionalFormatting>
  <conditionalFormatting sqref="G101">
    <cfRule type="expression" dxfId="295" priority="42">
      <formula>kvartal &lt; 4</formula>
    </cfRule>
  </conditionalFormatting>
  <conditionalFormatting sqref="G104">
    <cfRule type="expression" dxfId="294" priority="41">
      <formula>kvartal &lt; 4</formula>
    </cfRule>
  </conditionalFormatting>
  <conditionalFormatting sqref="F104">
    <cfRule type="expression" dxfId="293" priority="40">
      <formula>kvartal &lt; 4</formula>
    </cfRule>
  </conditionalFormatting>
  <conditionalFormatting sqref="J69:K73">
    <cfRule type="expression" dxfId="292" priority="39">
      <formula>kvartal &lt; 4</formula>
    </cfRule>
  </conditionalFormatting>
  <conditionalFormatting sqref="J74:K74">
    <cfRule type="expression" dxfId="291" priority="38">
      <formula>kvartal &lt; 4</formula>
    </cfRule>
  </conditionalFormatting>
  <conditionalFormatting sqref="J80:K85">
    <cfRule type="expression" dxfId="290" priority="37">
      <formula>kvartal &lt; 4</formula>
    </cfRule>
  </conditionalFormatting>
  <conditionalFormatting sqref="J90:K95">
    <cfRule type="expression" dxfId="289" priority="34">
      <formula>kvartal &lt; 4</formula>
    </cfRule>
  </conditionalFormatting>
  <conditionalFormatting sqref="J101:K106">
    <cfRule type="expression" dxfId="288" priority="33">
      <formula>kvartal &lt; 4</formula>
    </cfRule>
  </conditionalFormatting>
  <conditionalFormatting sqref="J115:K115">
    <cfRule type="expression" dxfId="287" priority="32">
      <formula>kvartal &lt; 4</formula>
    </cfRule>
  </conditionalFormatting>
  <conditionalFormatting sqref="J123:K123">
    <cfRule type="expression" dxfId="286" priority="31">
      <formula>kvartal &lt; 4</formula>
    </cfRule>
  </conditionalFormatting>
  <conditionalFormatting sqref="A50:A52">
    <cfRule type="expression" dxfId="285" priority="12">
      <formula>kvartal &lt; 4</formula>
    </cfRule>
  </conditionalFormatting>
  <conditionalFormatting sqref="A69:A74">
    <cfRule type="expression" dxfId="284" priority="10">
      <formula>kvartal &lt; 4</formula>
    </cfRule>
  </conditionalFormatting>
  <conditionalFormatting sqref="A80:A85">
    <cfRule type="expression" dxfId="283" priority="9">
      <formula>kvartal &lt; 4</formula>
    </cfRule>
  </conditionalFormatting>
  <conditionalFormatting sqref="A90:A95">
    <cfRule type="expression" dxfId="282" priority="6">
      <formula>kvartal &lt; 4</formula>
    </cfRule>
  </conditionalFormatting>
  <conditionalFormatting sqref="A101:A106">
    <cfRule type="expression" dxfId="281" priority="5">
      <formula>kvartal &lt; 4</formula>
    </cfRule>
  </conditionalFormatting>
  <conditionalFormatting sqref="A115">
    <cfRule type="expression" dxfId="280" priority="4">
      <formula>kvartal &lt; 4</formula>
    </cfRule>
  </conditionalFormatting>
  <conditionalFormatting sqref="A123">
    <cfRule type="expression" dxfId="279" priority="3">
      <formula>kvartal &lt; 4</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N144"/>
  <sheetViews>
    <sheetView showGridLines="0" zoomScaleNormal="100" workbookViewId="0">
      <selection activeCell="C1" sqref="C1"/>
    </sheetView>
  </sheetViews>
  <sheetFormatPr baseColWidth="10" defaultColWidth="11.42578125" defaultRowHeight="12.75" x14ac:dyDescent="0.2"/>
  <cols>
    <col min="1" max="1" width="43"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64"/>
      <c r="C1" s="246" t="s">
        <v>103</v>
      </c>
      <c r="D1" s="26"/>
      <c r="E1" s="26"/>
      <c r="F1" s="26"/>
      <c r="G1" s="26"/>
      <c r="H1" s="26"/>
      <c r="I1" s="26"/>
      <c r="J1" s="26"/>
      <c r="K1" s="26"/>
      <c r="L1" s="26"/>
      <c r="M1" s="26"/>
    </row>
    <row r="2" spans="1:14" ht="15.75" x14ac:dyDescent="0.25">
      <c r="A2" s="165" t="s">
        <v>28</v>
      </c>
      <c r="B2" s="700"/>
      <c r="C2" s="700"/>
      <c r="D2" s="700"/>
      <c r="E2" s="297"/>
      <c r="F2" s="700"/>
      <c r="G2" s="700"/>
      <c r="H2" s="700"/>
      <c r="I2" s="297"/>
      <c r="J2" s="700"/>
      <c r="K2" s="700"/>
      <c r="L2" s="700"/>
      <c r="M2" s="297"/>
    </row>
    <row r="3" spans="1:14" ht="15.75" x14ac:dyDescent="0.25">
      <c r="A3" s="163"/>
      <c r="B3" s="297"/>
      <c r="C3" s="297"/>
      <c r="D3" s="297"/>
      <c r="E3" s="297"/>
      <c r="F3" s="297"/>
      <c r="G3" s="297"/>
      <c r="H3" s="297"/>
      <c r="I3" s="297"/>
      <c r="J3" s="297"/>
      <c r="K3" s="297"/>
      <c r="L3" s="297"/>
      <c r="M3" s="297"/>
    </row>
    <row r="4" spans="1:14" x14ac:dyDescent="0.2">
      <c r="A4" s="144"/>
      <c r="B4" s="696" t="s">
        <v>0</v>
      </c>
      <c r="C4" s="697"/>
      <c r="D4" s="697"/>
      <c r="E4" s="299"/>
      <c r="F4" s="696" t="s">
        <v>1</v>
      </c>
      <c r="G4" s="697"/>
      <c r="H4" s="697"/>
      <c r="I4" s="302"/>
      <c r="J4" s="696" t="s">
        <v>2</v>
      </c>
      <c r="K4" s="697"/>
      <c r="L4" s="697"/>
      <c r="M4" s="302"/>
    </row>
    <row r="5" spans="1:14" x14ac:dyDescent="0.2">
      <c r="A5" s="158"/>
      <c r="B5" s="152" t="s">
        <v>422</v>
      </c>
      <c r="C5" s="152" t="s">
        <v>423</v>
      </c>
      <c r="D5" s="243" t="s">
        <v>3</v>
      </c>
      <c r="E5" s="303" t="s">
        <v>29</v>
      </c>
      <c r="F5" s="152" t="s">
        <v>422</v>
      </c>
      <c r="G5" s="152" t="s">
        <v>423</v>
      </c>
      <c r="H5" s="243" t="s">
        <v>3</v>
      </c>
      <c r="I5" s="162" t="s">
        <v>29</v>
      </c>
      <c r="J5" s="152" t="s">
        <v>422</v>
      </c>
      <c r="K5" s="152" t="s">
        <v>423</v>
      </c>
      <c r="L5" s="243" t="s">
        <v>3</v>
      </c>
      <c r="M5" s="162" t="s">
        <v>29</v>
      </c>
    </row>
    <row r="6" spans="1:14" x14ac:dyDescent="0.2">
      <c r="A6" s="665"/>
      <c r="B6" s="156"/>
      <c r="C6" s="156"/>
      <c r="D6" s="244" t="s">
        <v>4</v>
      </c>
      <c r="E6" s="156" t="s">
        <v>30</v>
      </c>
      <c r="F6" s="161"/>
      <c r="G6" s="161"/>
      <c r="H6" s="243" t="s">
        <v>4</v>
      </c>
      <c r="I6" s="156" t="s">
        <v>30</v>
      </c>
      <c r="J6" s="161"/>
      <c r="K6" s="161"/>
      <c r="L6" s="243" t="s">
        <v>4</v>
      </c>
      <c r="M6" s="156" t="s">
        <v>30</v>
      </c>
    </row>
    <row r="7" spans="1:14" ht="15.75" x14ac:dyDescent="0.2">
      <c r="A7" s="14" t="s">
        <v>23</v>
      </c>
      <c r="B7" s="304"/>
      <c r="C7" s="305"/>
      <c r="D7" s="347"/>
      <c r="E7" s="11"/>
      <c r="F7" s="304"/>
      <c r="G7" s="305"/>
      <c r="H7" s="347"/>
      <c r="I7" s="160"/>
      <c r="J7" s="306"/>
      <c r="K7" s="307"/>
      <c r="L7" s="370"/>
      <c r="M7" s="11"/>
    </row>
    <row r="8" spans="1:14" ht="15.75" x14ac:dyDescent="0.2">
      <c r="A8" s="21" t="s">
        <v>25</v>
      </c>
      <c r="B8" s="279"/>
      <c r="C8" s="280"/>
      <c r="D8" s="166"/>
      <c r="E8" s="27"/>
      <c r="F8" s="283"/>
      <c r="G8" s="284"/>
      <c r="H8" s="166"/>
      <c r="I8" s="175"/>
      <c r="J8" s="232"/>
      <c r="K8" s="285"/>
      <c r="L8" s="252"/>
      <c r="M8" s="27"/>
    </row>
    <row r="9" spans="1:14" ht="15.75" x14ac:dyDescent="0.2">
      <c r="A9" s="21" t="s">
        <v>24</v>
      </c>
      <c r="B9" s="279"/>
      <c r="C9" s="280"/>
      <c r="D9" s="166"/>
      <c r="E9" s="27"/>
      <c r="F9" s="283"/>
      <c r="G9" s="284"/>
      <c r="H9" s="166"/>
      <c r="I9" s="175"/>
      <c r="J9" s="232"/>
      <c r="K9" s="285"/>
      <c r="L9" s="252"/>
      <c r="M9" s="27"/>
    </row>
    <row r="10" spans="1:14" ht="15.75" x14ac:dyDescent="0.2">
      <c r="A10" s="13" t="s">
        <v>371</v>
      </c>
      <c r="B10" s="308"/>
      <c r="C10" s="309"/>
      <c r="D10" s="171"/>
      <c r="E10" s="11"/>
      <c r="F10" s="308"/>
      <c r="G10" s="309"/>
      <c r="H10" s="171"/>
      <c r="I10" s="160"/>
      <c r="J10" s="306"/>
      <c r="K10" s="307"/>
      <c r="L10" s="371"/>
      <c r="M10" s="11"/>
    </row>
    <row r="11" spans="1:14" s="43" customFormat="1" ht="15.75" x14ac:dyDescent="0.2">
      <c r="A11" s="13" t="s">
        <v>372</v>
      </c>
      <c r="B11" s="308"/>
      <c r="C11" s="309"/>
      <c r="D11" s="171"/>
      <c r="E11" s="11"/>
      <c r="F11" s="308"/>
      <c r="G11" s="309"/>
      <c r="H11" s="171"/>
      <c r="I11" s="160"/>
      <c r="J11" s="306"/>
      <c r="K11" s="307"/>
      <c r="L11" s="371"/>
      <c r="M11" s="11"/>
      <c r="N11" s="143"/>
    </row>
    <row r="12" spans="1:14" s="43" customFormat="1" ht="15.75" x14ac:dyDescent="0.2">
      <c r="A12" s="41" t="s">
        <v>373</v>
      </c>
      <c r="B12" s="310"/>
      <c r="C12" s="311"/>
      <c r="D12" s="169"/>
      <c r="E12" s="36"/>
      <c r="F12" s="310"/>
      <c r="G12" s="311"/>
      <c r="H12" s="169"/>
      <c r="I12" s="169"/>
      <c r="J12" s="312"/>
      <c r="K12" s="313"/>
      <c r="L12" s="372"/>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95"/>
      <c r="C18" s="695"/>
      <c r="D18" s="695"/>
      <c r="E18" s="297"/>
      <c r="F18" s="695"/>
      <c r="G18" s="695"/>
      <c r="H18" s="695"/>
      <c r="I18" s="297"/>
      <c r="J18" s="695"/>
      <c r="K18" s="695"/>
      <c r="L18" s="695"/>
      <c r="M18" s="297"/>
    </row>
    <row r="19" spans="1:14" x14ac:dyDescent="0.2">
      <c r="A19" s="144"/>
      <c r="B19" s="696" t="s">
        <v>0</v>
      </c>
      <c r="C19" s="697"/>
      <c r="D19" s="697"/>
      <c r="E19" s="299"/>
      <c r="F19" s="696" t="s">
        <v>1</v>
      </c>
      <c r="G19" s="697"/>
      <c r="H19" s="697"/>
      <c r="I19" s="302"/>
      <c r="J19" s="696" t="s">
        <v>2</v>
      </c>
      <c r="K19" s="697"/>
      <c r="L19" s="697"/>
      <c r="M19" s="302"/>
    </row>
    <row r="20" spans="1:14" x14ac:dyDescent="0.2">
      <c r="A20" s="140" t="s">
        <v>5</v>
      </c>
      <c r="B20" s="152" t="s">
        <v>422</v>
      </c>
      <c r="C20" s="152" t="s">
        <v>423</v>
      </c>
      <c r="D20" s="162" t="s">
        <v>3</v>
      </c>
      <c r="E20" s="303" t="s">
        <v>29</v>
      </c>
      <c r="F20" s="152" t="s">
        <v>422</v>
      </c>
      <c r="G20" s="152" t="s">
        <v>423</v>
      </c>
      <c r="H20" s="162" t="s">
        <v>3</v>
      </c>
      <c r="I20" s="162" t="s">
        <v>29</v>
      </c>
      <c r="J20" s="152" t="s">
        <v>422</v>
      </c>
      <c r="K20" s="152" t="s">
        <v>423</v>
      </c>
      <c r="L20" s="162" t="s">
        <v>3</v>
      </c>
      <c r="M20" s="162" t="s">
        <v>29</v>
      </c>
    </row>
    <row r="21" spans="1:14" x14ac:dyDescent="0.2">
      <c r="A21" s="666"/>
      <c r="B21" s="156"/>
      <c r="C21" s="156"/>
      <c r="D21" s="244" t="s">
        <v>4</v>
      </c>
      <c r="E21" s="156" t="s">
        <v>30</v>
      </c>
      <c r="F21" s="161"/>
      <c r="G21" s="161"/>
      <c r="H21" s="243" t="s">
        <v>4</v>
      </c>
      <c r="I21" s="156" t="s">
        <v>30</v>
      </c>
      <c r="J21" s="161"/>
      <c r="K21" s="161"/>
      <c r="L21" s="156" t="s">
        <v>4</v>
      </c>
      <c r="M21" s="156" t="s">
        <v>30</v>
      </c>
    </row>
    <row r="22" spans="1:14" ht="15.75" x14ac:dyDescent="0.2">
      <c r="A22" s="14" t="s">
        <v>23</v>
      </c>
      <c r="B22" s="308"/>
      <c r="C22" s="308"/>
      <c r="D22" s="347"/>
      <c r="E22" s="11"/>
      <c r="F22" s="316"/>
      <c r="G22" s="316"/>
      <c r="H22" s="347"/>
      <c r="I22" s="11"/>
      <c r="J22" s="314"/>
      <c r="K22" s="314"/>
      <c r="L22" s="370"/>
      <c r="M22" s="24"/>
    </row>
    <row r="23" spans="1:14" ht="15.75" x14ac:dyDescent="0.2">
      <c r="A23" s="551" t="s">
        <v>374</v>
      </c>
      <c r="B23" s="279"/>
      <c r="C23" s="279"/>
      <c r="D23" s="166"/>
      <c r="E23" s="11"/>
      <c r="F23" s="288"/>
      <c r="G23" s="288"/>
      <c r="H23" s="166"/>
      <c r="I23" s="363"/>
      <c r="J23" s="288"/>
      <c r="K23" s="288"/>
      <c r="L23" s="166"/>
      <c r="M23" s="23"/>
    </row>
    <row r="24" spans="1:14" ht="15.75" x14ac:dyDescent="0.2">
      <c r="A24" s="551" t="s">
        <v>375</v>
      </c>
      <c r="B24" s="279"/>
      <c r="C24" s="279"/>
      <c r="D24" s="166"/>
      <c r="E24" s="11"/>
      <c r="F24" s="288"/>
      <c r="G24" s="288"/>
      <c r="H24" s="166"/>
      <c r="I24" s="363"/>
      <c r="J24" s="288"/>
      <c r="K24" s="288"/>
      <c r="L24" s="166"/>
      <c r="M24" s="23"/>
    </row>
    <row r="25" spans="1:14" ht="15.75" x14ac:dyDescent="0.2">
      <c r="A25" s="551" t="s">
        <v>376</v>
      </c>
      <c r="B25" s="279"/>
      <c r="C25" s="279"/>
      <c r="D25" s="166"/>
      <c r="E25" s="11"/>
      <c r="F25" s="288"/>
      <c r="G25" s="288"/>
      <c r="H25" s="166"/>
      <c r="I25" s="363"/>
      <c r="J25" s="288"/>
      <c r="K25" s="288"/>
      <c r="L25" s="166"/>
      <c r="M25" s="23"/>
    </row>
    <row r="26" spans="1:14" ht="15.75" x14ac:dyDescent="0.2">
      <c r="A26" s="551" t="s">
        <v>377</v>
      </c>
      <c r="B26" s="279"/>
      <c r="C26" s="279"/>
      <c r="D26" s="166"/>
      <c r="E26" s="11"/>
      <c r="F26" s="288"/>
      <c r="G26" s="288"/>
      <c r="H26" s="166"/>
      <c r="I26" s="363"/>
      <c r="J26" s="288"/>
      <c r="K26" s="288"/>
      <c r="L26" s="166"/>
      <c r="M26" s="23"/>
    </row>
    <row r="27" spans="1:14" x14ac:dyDescent="0.2">
      <c r="A27" s="551" t="s">
        <v>11</v>
      </c>
      <c r="B27" s="279"/>
      <c r="C27" s="279"/>
      <c r="D27" s="166"/>
      <c r="E27" s="11"/>
      <c r="F27" s="288"/>
      <c r="G27" s="288"/>
      <c r="H27" s="166"/>
      <c r="I27" s="363"/>
      <c r="J27" s="288"/>
      <c r="K27" s="288"/>
      <c r="L27" s="166"/>
      <c r="M27" s="23"/>
    </row>
    <row r="28" spans="1:14" ht="15.75" x14ac:dyDescent="0.2">
      <c r="A28" s="49" t="s">
        <v>282</v>
      </c>
      <c r="B28" s="44"/>
      <c r="C28" s="285"/>
      <c r="D28" s="166"/>
      <c r="E28" s="11"/>
      <c r="F28" s="232"/>
      <c r="G28" s="285"/>
      <c r="H28" s="166"/>
      <c r="I28" s="27"/>
      <c r="J28" s="44"/>
      <c r="K28" s="44"/>
      <c r="L28" s="252"/>
      <c r="M28" s="23"/>
    </row>
    <row r="29" spans="1:14" s="3" customFormat="1" ht="15.75" x14ac:dyDescent="0.2">
      <c r="A29" s="13" t="s">
        <v>371</v>
      </c>
      <c r="B29" s="234"/>
      <c r="C29" s="234"/>
      <c r="D29" s="171"/>
      <c r="E29" s="11"/>
      <c r="F29" s="306"/>
      <c r="G29" s="306"/>
      <c r="H29" s="171"/>
      <c r="I29" s="11"/>
      <c r="J29" s="234"/>
      <c r="K29" s="234"/>
      <c r="L29" s="371"/>
      <c r="M29" s="24"/>
      <c r="N29" s="148"/>
    </row>
    <row r="30" spans="1:14" s="3" customFormat="1" ht="15.75" x14ac:dyDescent="0.2">
      <c r="A30" s="551" t="s">
        <v>374</v>
      </c>
      <c r="B30" s="279"/>
      <c r="C30" s="279"/>
      <c r="D30" s="166"/>
      <c r="E30" s="11"/>
      <c r="F30" s="288"/>
      <c r="G30" s="288"/>
      <c r="H30" s="166"/>
      <c r="I30" s="363"/>
      <c r="J30" s="288"/>
      <c r="K30" s="288"/>
      <c r="L30" s="166"/>
      <c r="M30" s="23"/>
      <c r="N30" s="148"/>
    </row>
    <row r="31" spans="1:14" s="3" customFormat="1" ht="15.75" x14ac:dyDescent="0.2">
      <c r="A31" s="551" t="s">
        <v>375</v>
      </c>
      <c r="B31" s="279"/>
      <c r="C31" s="279"/>
      <c r="D31" s="166"/>
      <c r="E31" s="11"/>
      <c r="F31" s="288"/>
      <c r="G31" s="288"/>
      <c r="H31" s="166"/>
      <c r="I31" s="363"/>
      <c r="J31" s="288"/>
      <c r="K31" s="288"/>
      <c r="L31" s="166"/>
      <c r="M31" s="23"/>
      <c r="N31" s="148"/>
    </row>
    <row r="32" spans="1:14" ht="15.75" x14ac:dyDescent="0.2">
      <c r="A32" s="551" t="s">
        <v>376</v>
      </c>
      <c r="B32" s="279"/>
      <c r="C32" s="279"/>
      <c r="D32" s="166"/>
      <c r="E32" s="11"/>
      <c r="F32" s="288"/>
      <c r="G32" s="288"/>
      <c r="H32" s="166"/>
      <c r="I32" s="363"/>
      <c r="J32" s="288"/>
      <c r="K32" s="288"/>
      <c r="L32" s="166"/>
      <c r="M32" s="23"/>
    </row>
    <row r="33" spans="1:14" ht="15.75" x14ac:dyDescent="0.2">
      <c r="A33" s="551" t="s">
        <v>377</v>
      </c>
      <c r="B33" s="279"/>
      <c r="C33" s="279"/>
      <c r="D33" s="166"/>
      <c r="E33" s="11"/>
      <c r="F33" s="288"/>
      <c r="G33" s="288"/>
      <c r="H33" s="166"/>
      <c r="I33" s="363"/>
      <c r="J33" s="288"/>
      <c r="K33" s="288"/>
      <c r="L33" s="166"/>
      <c r="M33" s="23"/>
    </row>
    <row r="34" spans="1:14" ht="15.75" x14ac:dyDescent="0.2">
      <c r="A34" s="13" t="s">
        <v>372</v>
      </c>
      <c r="B34" s="234"/>
      <c r="C34" s="307"/>
      <c r="D34" s="171"/>
      <c r="E34" s="11"/>
      <c r="F34" s="306"/>
      <c r="G34" s="307"/>
      <c r="H34" s="171"/>
      <c r="I34" s="11"/>
      <c r="J34" s="234"/>
      <c r="K34" s="234"/>
      <c r="L34" s="371"/>
      <c r="M34" s="24"/>
    </row>
    <row r="35" spans="1:14" ht="15.75" x14ac:dyDescent="0.2">
      <c r="A35" s="13" t="s">
        <v>373</v>
      </c>
      <c r="B35" s="234"/>
      <c r="C35" s="307"/>
      <c r="D35" s="171"/>
      <c r="E35" s="11"/>
      <c r="F35" s="306"/>
      <c r="G35" s="307"/>
      <c r="H35" s="171"/>
      <c r="I35" s="11"/>
      <c r="J35" s="234"/>
      <c r="K35" s="234"/>
      <c r="L35" s="371"/>
      <c r="M35" s="24"/>
    </row>
    <row r="36" spans="1:14" ht="15.75" x14ac:dyDescent="0.2">
      <c r="A36" s="12" t="s">
        <v>290</v>
      </c>
      <c r="B36" s="234"/>
      <c r="C36" s="307"/>
      <c r="D36" s="171"/>
      <c r="E36" s="11"/>
      <c r="F36" s="317"/>
      <c r="G36" s="318"/>
      <c r="H36" s="171"/>
      <c r="I36" s="377"/>
      <c r="J36" s="234"/>
      <c r="K36" s="234"/>
      <c r="L36" s="371"/>
      <c r="M36" s="24"/>
    </row>
    <row r="37" spans="1:14" ht="15.75" x14ac:dyDescent="0.2">
      <c r="A37" s="12" t="s">
        <v>379</v>
      </c>
      <c r="B37" s="234"/>
      <c r="C37" s="307"/>
      <c r="D37" s="171"/>
      <c r="E37" s="11"/>
      <c r="F37" s="317"/>
      <c r="G37" s="319"/>
      <c r="H37" s="171"/>
      <c r="I37" s="377"/>
      <c r="J37" s="234"/>
      <c r="K37" s="234"/>
      <c r="L37" s="371"/>
      <c r="M37" s="24"/>
    </row>
    <row r="38" spans="1:14" ht="15.75" x14ac:dyDescent="0.2">
      <c r="A38" s="12" t="s">
        <v>380</v>
      </c>
      <c r="B38" s="234"/>
      <c r="C38" s="307"/>
      <c r="D38" s="375"/>
      <c r="E38" s="24"/>
      <c r="F38" s="317"/>
      <c r="G38" s="318"/>
      <c r="H38" s="171"/>
      <c r="I38" s="377"/>
      <c r="J38" s="234"/>
      <c r="K38" s="234"/>
      <c r="L38" s="371"/>
      <c r="M38" s="24"/>
    </row>
    <row r="39" spans="1:14" ht="15.75" x14ac:dyDescent="0.2">
      <c r="A39" s="18" t="s">
        <v>381</v>
      </c>
      <c r="B39" s="274"/>
      <c r="C39" s="313"/>
      <c r="D39" s="376"/>
      <c r="E39" s="36"/>
      <c r="F39" s="320"/>
      <c r="G39" s="321"/>
      <c r="H39" s="169"/>
      <c r="I39" s="36"/>
      <c r="J39" s="234"/>
      <c r="K39" s="234"/>
      <c r="L39" s="372"/>
      <c r="M39" s="36"/>
    </row>
    <row r="40" spans="1:14" ht="15.75" x14ac:dyDescent="0.25">
      <c r="A40" s="47"/>
      <c r="B40" s="251"/>
      <c r="C40" s="251"/>
      <c r="D40" s="699"/>
      <c r="E40" s="701"/>
      <c r="F40" s="699"/>
      <c r="G40" s="699"/>
      <c r="H40" s="699"/>
      <c r="I40" s="699"/>
      <c r="J40" s="699"/>
      <c r="K40" s="699"/>
      <c r="L40" s="699"/>
      <c r="M40" s="300"/>
    </row>
    <row r="41" spans="1:14" x14ac:dyDescent="0.2">
      <c r="A41" s="155"/>
    </row>
    <row r="42" spans="1:14" ht="15.75" x14ac:dyDescent="0.25">
      <c r="A42" s="147" t="s">
        <v>279</v>
      </c>
      <c r="B42" s="700"/>
      <c r="C42" s="700"/>
      <c r="D42" s="700"/>
      <c r="E42" s="297"/>
      <c r="F42" s="701"/>
      <c r="G42" s="701"/>
      <c r="H42" s="701"/>
      <c r="I42" s="300"/>
      <c r="J42" s="701"/>
      <c r="K42" s="701"/>
      <c r="L42" s="701"/>
      <c r="M42" s="300"/>
    </row>
    <row r="43" spans="1:14" ht="15.75" x14ac:dyDescent="0.25">
      <c r="A43" s="163"/>
      <c r="B43" s="301"/>
      <c r="C43" s="301"/>
      <c r="D43" s="301"/>
      <c r="E43" s="301"/>
      <c r="F43" s="300"/>
      <c r="G43" s="300"/>
      <c r="H43" s="300"/>
      <c r="I43" s="300"/>
      <c r="J43" s="300"/>
      <c r="K43" s="300"/>
      <c r="L43" s="300"/>
      <c r="M43" s="300"/>
    </row>
    <row r="44" spans="1:14" ht="15.75" x14ac:dyDescent="0.25">
      <c r="A44" s="245"/>
      <c r="B44" s="696" t="s">
        <v>0</v>
      </c>
      <c r="C44" s="697"/>
      <c r="D44" s="697"/>
      <c r="E44" s="241"/>
      <c r="F44" s="300"/>
      <c r="G44" s="300"/>
      <c r="H44" s="300"/>
      <c r="I44" s="300"/>
      <c r="J44" s="300"/>
      <c r="K44" s="300"/>
      <c r="L44" s="300"/>
      <c r="M44" s="300"/>
    </row>
    <row r="45" spans="1:14" s="3" customFormat="1" x14ac:dyDescent="0.2">
      <c r="A45" s="140"/>
      <c r="B45" s="152" t="s">
        <v>422</v>
      </c>
      <c r="C45" s="152" t="s">
        <v>423</v>
      </c>
      <c r="D45" s="162" t="s">
        <v>3</v>
      </c>
      <c r="E45" s="162" t="s">
        <v>29</v>
      </c>
      <c r="F45" s="174"/>
      <c r="G45" s="174"/>
      <c r="H45" s="173"/>
      <c r="I45" s="173"/>
      <c r="J45" s="174"/>
      <c r="K45" s="174"/>
      <c r="L45" s="173"/>
      <c r="M45" s="173"/>
      <c r="N45" s="148"/>
    </row>
    <row r="46" spans="1:14" s="3" customFormat="1" x14ac:dyDescent="0.2">
      <c r="A46" s="666"/>
      <c r="B46" s="242"/>
      <c r="C46" s="242"/>
      <c r="D46" s="243" t="s">
        <v>4</v>
      </c>
      <c r="E46" s="156" t="s">
        <v>30</v>
      </c>
      <c r="F46" s="173"/>
      <c r="G46" s="173"/>
      <c r="H46" s="173"/>
      <c r="I46" s="173"/>
      <c r="J46" s="173"/>
      <c r="K46" s="173"/>
      <c r="L46" s="173"/>
      <c r="M46" s="173"/>
      <c r="N46" s="148"/>
    </row>
    <row r="47" spans="1:14" s="3" customFormat="1" ht="15.75" x14ac:dyDescent="0.2">
      <c r="A47" s="14" t="s">
        <v>23</v>
      </c>
      <c r="B47" s="308">
        <v>458835</v>
      </c>
      <c r="C47" s="309">
        <v>543064</v>
      </c>
      <c r="D47" s="370">
        <f t="shared" ref="D47:D58" si="0">IF(B47=0, "    ---- ", IF(ABS(ROUND(100/B47*C47-100,1))&lt;999,ROUND(100/B47*C47-100,1),IF(ROUND(100/B47*C47-100,1)&gt;999,999,-999)))</f>
        <v>18.399999999999999</v>
      </c>
      <c r="E47" s="11">
        <f>IFERROR(100/'Skjema total MA'!C47*C47,0)</f>
        <v>16.820912327198574</v>
      </c>
      <c r="F47" s="145"/>
      <c r="G47" s="33"/>
      <c r="H47" s="159"/>
      <c r="I47" s="159"/>
      <c r="J47" s="37"/>
      <c r="K47" s="37"/>
      <c r="L47" s="159"/>
      <c r="M47" s="159"/>
      <c r="N47" s="148"/>
    </row>
    <row r="48" spans="1:14" s="3" customFormat="1" ht="15.75" x14ac:dyDescent="0.2">
      <c r="A48" s="38" t="s">
        <v>382</v>
      </c>
      <c r="B48" s="279">
        <v>177540</v>
      </c>
      <c r="C48" s="280">
        <v>174176</v>
      </c>
      <c r="D48" s="252">
        <f t="shared" si="0"/>
        <v>-1.9</v>
      </c>
      <c r="E48" s="27">
        <f>IFERROR(100/'Skjema total MA'!C48*C48,0)</f>
        <v>9.5858130103651078</v>
      </c>
      <c r="F48" s="145"/>
      <c r="G48" s="33"/>
      <c r="H48" s="145"/>
      <c r="I48" s="145"/>
      <c r="J48" s="33"/>
      <c r="K48" s="33"/>
      <c r="L48" s="159"/>
      <c r="M48" s="159"/>
      <c r="N48" s="148"/>
    </row>
    <row r="49" spans="1:14" s="3" customFormat="1" ht="15.75" x14ac:dyDescent="0.2">
      <c r="A49" s="38" t="s">
        <v>383</v>
      </c>
      <c r="B49" s="44">
        <v>281295</v>
      </c>
      <c r="C49" s="285">
        <v>368888</v>
      </c>
      <c r="D49" s="252">
        <f>IF(B49=0, "    ---- ", IF(ABS(ROUND(100/B49*C49-100,1))&lt;999,ROUND(100/B49*C49-100,1),IF(ROUND(100/B49*C49-100,1)&gt;999,999,-999)))</f>
        <v>31.1</v>
      </c>
      <c r="E49" s="27">
        <f>IFERROR(100/'Skjema total MA'!C49*C49,0)</f>
        <v>26.13471716351442</v>
      </c>
      <c r="F49" s="145"/>
      <c r="G49" s="33"/>
      <c r="H49" s="145"/>
      <c r="I49" s="145"/>
      <c r="J49" s="37"/>
      <c r="K49" s="37"/>
      <c r="L49" s="159"/>
      <c r="M49" s="159"/>
      <c r="N49" s="148"/>
    </row>
    <row r="50" spans="1:14" s="3" customFormat="1" x14ac:dyDescent="0.2">
      <c r="A50" s="294" t="s">
        <v>6</v>
      </c>
      <c r="B50" s="288"/>
      <c r="C50" s="289"/>
      <c r="D50" s="252"/>
      <c r="E50" s="23"/>
      <c r="F50" s="145"/>
      <c r="G50" s="33"/>
      <c r="H50" s="145"/>
      <c r="I50" s="145"/>
      <c r="J50" s="33"/>
      <c r="K50" s="33"/>
      <c r="L50" s="159"/>
      <c r="M50" s="159"/>
      <c r="N50" s="148"/>
    </row>
    <row r="51" spans="1:14" s="3" customFormat="1" x14ac:dyDescent="0.2">
      <c r="A51" s="294" t="s">
        <v>7</v>
      </c>
      <c r="B51" s="288"/>
      <c r="C51" s="289"/>
      <c r="D51" s="252"/>
      <c r="E51" s="23"/>
      <c r="F51" s="145"/>
      <c r="G51" s="33"/>
      <c r="H51" s="145"/>
      <c r="I51" s="145"/>
      <c r="J51" s="33"/>
      <c r="K51" s="33"/>
      <c r="L51" s="159"/>
      <c r="M51" s="159"/>
      <c r="N51" s="148"/>
    </row>
    <row r="52" spans="1:14" s="3" customFormat="1" x14ac:dyDescent="0.2">
      <c r="A52" s="294" t="s">
        <v>8</v>
      </c>
      <c r="B52" s="288"/>
      <c r="C52" s="289"/>
      <c r="D52" s="252"/>
      <c r="E52" s="23"/>
      <c r="F52" s="145"/>
      <c r="G52" s="33"/>
      <c r="H52" s="145"/>
      <c r="I52" s="145"/>
      <c r="J52" s="33"/>
      <c r="K52" s="33"/>
      <c r="L52" s="159"/>
      <c r="M52" s="159"/>
      <c r="N52" s="148"/>
    </row>
    <row r="53" spans="1:14" s="3" customFormat="1" ht="15.75" x14ac:dyDescent="0.2">
      <c r="A53" s="39" t="s">
        <v>384</v>
      </c>
      <c r="B53" s="308">
        <v>12050.271000000001</v>
      </c>
      <c r="C53" s="309">
        <v>90577</v>
      </c>
      <c r="D53" s="371">
        <f t="shared" si="0"/>
        <v>651.70000000000005</v>
      </c>
      <c r="E53" s="11">
        <f>IFERROR(100/'Skjema total MA'!C53*C53,0)</f>
        <v>47.486930726583232</v>
      </c>
      <c r="F53" s="145"/>
      <c r="G53" s="33"/>
      <c r="H53" s="145"/>
      <c r="I53" s="145"/>
      <c r="J53" s="33"/>
      <c r="K53" s="33"/>
      <c r="L53" s="159"/>
      <c r="M53" s="159"/>
      <c r="N53" s="148"/>
    </row>
    <row r="54" spans="1:14" s="3" customFormat="1" ht="15.75" x14ac:dyDescent="0.2">
      <c r="A54" s="38" t="s">
        <v>382</v>
      </c>
      <c r="B54" s="279">
        <v>12050.271000000001</v>
      </c>
      <c r="C54" s="280">
        <v>3521</v>
      </c>
      <c r="D54" s="252">
        <f t="shared" si="0"/>
        <v>-70.8</v>
      </c>
      <c r="E54" s="27">
        <f>IFERROR(100/'Skjema total MA'!C54*C54,0)</f>
        <v>3.3958656777242267</v>
      </c>
      <c r="F54" s="145"/>
      <c r="G54" s="33"/>
      <c r="H54" s="145"/>
      <c r="I54" s="145"/>
      <c r="J54" s="33"/>
      <c r="K54" s="33"/>
      <c r="L54" s="159"/>
      <c r="M54" s="159"/>
      <c r="N54" s="148"/>
    </row>
    <row r="55" spans="1:14" s="3" customFormat="1" ht="15.75" x14ac:dyDescent="0.2">
      <c r="A55" s="38" t="s">
        <v>383</v>
      </c>
      <c r="B55" s="279">
        <v>0</v>
      </c>
      <c r="C55" s="280">
        <v>87056</v>
      </c>
      <c r="D55" s="252" t="str">
        <f t="shared" si="0"/>
        <v xml:space="preserve">    ---- </v>
      </c>
      <c r="E55" s="27">
        <f>IFERROR(100/'Skjema total MA'!C55*C55,0)</f>
        <v>99.999999999999986</v>
      </c>
      <c r="F55" s="145"/>
      <c r="G55" s="33"/>
      <c r="H55" s="145"/>
      <c r="I55" s="145"/>
      <c r="J55" s="33"/>
      <c r="K55" s="33"/>
      <c r="L55" s="159"/>
      <c r="M55" s="159"/>
      <c r="N55" s="148"/>
    </row>
    <row r="56" spans="1:14" s="3" customFormat="1" ht="15.75" x14ac:dyDescent="0.2">
      <c r="A56" s="39" t="s">
        <v>385</v>
      </c>
      <c r="B56" s="308">
        <v>24963.713</v>
      </c>
      <c r="C56" s="309">
        <v>30870.3</v>
      </c>
      <c r="D56" s="371">
        <f t="shared" si="0"/>
        <v>23.7</v>
      </c>
      <c r="E56" s="11">
        <f>IFERROR(100/'Skjema total MA'!C56*C56,0)</f>
        <v>19.8416270474832</v>
      </c>
      <c r="F56" s="145"/>
      <c r="G56" s="33"/>
      <c r="H56" s="145"/>
      <c r="I56" s="145"/>
      <c r="J56" s="33"/>
      <c r="K56" s="33"/>
      <c r="L56" s="159"/>
      <c r="M56" s="159"/>
      <c r="N56" s="148"/>
    </row>
    <row r="57" spans="1:14" s="3" customFormat="1" ht="15.75" x14ac:dyDescent="0.2">
      <c r="A57" s="38" t="s">
        <v>382</v>
      </c>
      <c r="B57" s="279">
        <v>24960.44</v>
      </c>
      <c r="C57" s="280">
        <v>30863.7</v>
      </c>
      <c r="D57" s="252">
        <f t="shared" si="0"/>
        <v>23.7</v>
      </c>
      <c r="E57" s="27">
        <f>IFERROR(100/'Skjema total MA'!C57*C57,0)</f>
        <v>34.681822536701972</v>
      </c>
      <c r="F57" s="145"/>
      <c r="G57" s="33"/>
      <c r="H57" s="145"/>
      <c r="I57" s="145"/>
      <c r="J57" s="33"/>
      <c r="K57" s="33"/>
      <c r="L57" s="159"/>
      <c r="M57" s="159"/>
      <c r="N57" s="148"/>
    </row>
    <row r="58" spans="1:14" s="3" customFormat="1" ht="15.75" x14ac:dyDescent="0.2">
      <c r="A58" s="46" t="s">
        <v>383</v>
      </c>
      <c r="B58" s="281">
        <v>3.2730000000000001</v>
      </c>
      <c r="C58" s="282">
        <v>6.6</v>
      </c>
      <c r="D58" s="253">
        <f t="shared" si="0"/>
        <v>101.6</v>
      </c>
      <c r="E58" s="22">
        <f>IFERROR(100/'Skjema total MA'!C58*C58,0)</f>
        <v>1.1774927610956392</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95"/>
      <c r="C62" s="695"/>
      <c r="D62" s="695"/>
      <c r="E62" s="297"/>
      <c r="F62" s="695"/>
      <c r="G62" s="695"/>
      <c r="H62" s="695"/>
      <c r="I62" s="297"/>
      <c r="J62" s="695"/>
      <c r="K62" s="695"/>
      <c r="L62" s="695"/>
      <c r="M62" s="297"/>
    </row>
    <row r="63" spans="1:14" x14ac:dyDescent="0.2">
      <c r="A63" s="144"/>
      <c r="B63" s="696" t="s">
        <v>0</v>
      </c>
      <c r="C63" s="697"/>
      <c r="D63" s="698"/>
      <c r="E63" s="298"/>
      <c r="F63" s="697" t="s">
        <v>1</v>
      </c>
      <c r="G63" s="697"/>
      <c r="H63" s="697"/>
      <c r="I63" s="302"/>
      <c r="J63" s="696" t="s">
        <v>2</v>
      </c>
      <c r="K63" s="697"/>
      <c r="L63" s="697"/>
      <c r="M63" s="302"/>
    </row>
    <row r="64" spans="1:14" x14ac:dyDescent="0.2">
      <c r="A64" s="140"/>
      <c r="B64" s="152" t="s">
        <v>422</v>
      </c>
      <c r="C64" s="152" t="s">
        <v>423</v>
      </c>
      <c r="D64" s="243" t="s">
        <v>3</v>
      </c>
      <c r="E64" s="303" t="s">
        <v>29</v>
      </c>
      <c r="F64" s="152" t="s">
        <v>422</v>
      </c>
      <c r="G64" s="152" t="s">
        <v>423</v>
      </c>
      <c r="H64" s="243" t="s">
        <v>3</v>
      </c>
      <c r="I64" s="303" t="s">
        <v>29</v>
      </c>
      <c r="J64" s="152" t="s">
        <v>422</v>
      </c>
      <c r="K64" s="152" t="s">
        <v>423</v>
      </c>
      <c r="L64" s="243" t="s">
        <v>3</v>
      </c>
      <c r="M64" s="162" t="s">
        <v>29</v>
      </c>
    </row>
    <row r="65" spans="1:14" x14ac:dyDescent="0.2">
      <c r="A65" s="666"/>
      <c r="B65" s="156"/>
      <c r="C65" s="156"/>
      <c r="D65" s="244" t="s">
        <v>4</v>
      </c>
      <c r="E65" s="156" t="s">
        <v>30</v>
      </c>
      <c r="F65" s="161"/>
      <c r="G65" s="161"/>
      <c r="H65" s="243" t="s">
        <v>4</v>
      </c>
      <c r="I65" s="156" t="s">
        <v>30</v>
      </c>
      <c r="J65" s="161"/>
      <c r="K65" s="205"/>
      <c r="L65" s="156" t="s">
        <v>4</v>
      </c>
      <c r="M65" s="156" t="s">
        <v>30</v>
      </c>
    </row>
    <row r="66" spans="1:14" ht="15.75" x14ac:dyDescent="0.2">
      <c r="A66" s="14" t="s">
        <v>23</v>
      </c>
      <c r="B66" s="350"/>
      <c r="C66" s="350"/>
      <c r="D66" s="347"/>
      <c r="E66" s="11"/>
      <c r="F66" s="349"/>
      <c r="G66" s="349"/>
      <c r="H66" s="347"/>
      <c r="I66" s="11"/>
      <c r="J66" s="307"/>
      <c r="K66" s="314"/>
      <c r="L66" s="371"/>
      <c r="M66" s="11"/>
    </row>
    <row r="67" spans="1:14" x14ac:dyDescent="0.2">
      <c r="A67" s="365" t="s">
        <v>9</v>
      </c>
      <c r="B67" s="44"/>
      <c r="C67" s="145"/>
      <c r="D67" s="166"/>
      <c r="E67" s="27"/>
      <c r="F67" s="232"/>
      <c r="G67" s="145"/>
      <c r="H67" s="166"/>
      <c r="I67" s="27"/>
      <c r="J67" s="285"/>
      <c r="K67" s="44"/>
      <c r="L67" s="252"/>
      <c r="M67" s="27"/>
    </row>
    <row r="68" spans="1:14" x14ac:dyDescent="0.2">
      <c r="A68" s="21" t="s">
        <v>10</v>
      </c>
      <c r="B68" s="290"/>
      <c r="C68" s="291"/>
      <c r="D68" s="166"/>
      <c r="E68" s="27"/>
      <c r="F68" s="290"/>
      <c r="G68" s="291"/>
      <c r="H68" s="166"/>
      <c r="I68" s="27"/>
      <c r="J68" s="285"/>
      <c r="K68" s="44"/>
      <c r="L68" s="252"/>
      <c r="M68" s="27"/>
    </row>
    <row r="69" spans="1:14" ht="15.75" x14ac:dyDescent="0.2">
      <c r="A69" s="294" t="s">
        <v>386</v>
      </c>
      <c r="B69" s="279"/>
      <c r="C69" s="279"/>
      <c r="D69" s="166"/>
      <c r="E69" s="363"/>
      <c r="F69" s="279"/>
      <c r="G69" s="279"/>
      <c r="H69" s="166"/>
      <c r="I69" s="363"/>
      <c r="J69" s="288"/>
      <c r="K69" s="288"/>
      <c r="L69" s="166"/>
      <c r="M69" s="23"/>
    </row>
    <row r="70" spans="1:14" x14ac:dyDescent="0.2">
      <c r="A70" s="294" t="s">
        <v>12</v>
      </c>
      <c r="B70" s="292"/>
      <c r="C70" s="293"/>
      <c r="D70" s="166"/>
      <c r="E70" s="363"/>
      <c r="F70" s="279"/>
      <c r="G70" s="279"/>
      <c r="H70" s="166"/>
      <c r="I70" s="363"/>
      <c r="J70" s="288"/>
      <c r="K70" s="288"/>
      <c r="L70" s="166"/>
      <c r="M70" s="23"/>
    </row>
    <row r="71" spans="1:14" x14ac:dyDescent="0.2">
      <c r="A71" s="294" t="s">
        <v>13</v>
      </c>
      <c r="B71" s="233"/>
      <c r="C71" s="287"/>
      <c r="D71" s="166"/>
      <c r="E71" s="363"/>
      <c r="F71" s="279"/>
      <c r="G71" s="279"/>
      <c r="H71" s="166"/>
      <c r="I71" s="363"/>
      <c r="J71" s="288"/>
      <c r="K71" s="288"/>
      <c r="L71" s="166"/>
      <c r="M71" s="23"/>
    </row>
    <row r="72" spans="1:14" ht="15.75" x14ac:dyDescent="0.2">
      <c r="A72" s="294" t="s">
        <v>387</v>
      </c>
      <c r="B72" s="279"/>
      <c r="C72" s="279"/>
      <c r="D72" s="166"/>
      <c r="E72" s="363"/>
      <c r="F72" s="279"/>
      <c r="G72" s="279"/>
      <c r="H72" s="166"/>
      <c r="I72" s="363"/>
      <c r="J72" s="288"/>
      <c r="K72" s="288"/>
      <c r="L72" s="166"/>
      <c r="M72" s="23"/>
    </row>
    <row r="73" spans="1:14" x14ac:dyDescent="0.2">
      <c r="A73" s="294" t="s">
        <v>12</v>
      </c>
      <c r="B73" s="233"/>
      <c r="C73" s="287"/>
      <c r="D73" s="166"/>
      <c r="E73" s="363"/>
      <c r="F73" s="279"/>
      <c r="G73" s="279"/>
      <c r="H73" s="166"/>
      <c r="I73" s="363"/>
      <c r="J73" s="288"/>
      <c r="K73" s="288"/>
      <c r="L73" s="166"/>
      <c r="M73" s="23"/>
    </row>
    <row r="74" spans="1:14" s="3" customFormat="1" x14ac:dyDescent="0.2">
      <c r="A74" s="294" t="s">
        <v>13</v>
      </c>
      <c r="B74" s="233"/>
      <c r="C74" s="287"/>
      <c r="D74" s="166"/>
      <c r="E74" s="363"/>
      <c r="F74" s="279"/>
      <c r="G74" s="279"/>
      <c r="H74" s="166"/>
      <c r="I74" s="363"/>
      <c r="J74" s="288"/>
      <c r="K74" s="288"/>
      <c r="L74" s="166"/>
      <c r="M74" s="23"/>
      <c r="N74" s="148"/>
    </row>
    <row r="75" spans="1:14" s="3" customFormat="1" x14ac:dyDescent="0.2">
      <c r="A75" s="21" t="s">
        <v>356</v>
      </c>
      <c r="B75" s="232"/>
      <c r="C75" s="145"/>
      <c r="D75" s="166"/>
      <c r="E75" s="27"/>
      <c r="F75" s="232"/>
      <c r="G75" s="145"/>
      <c r="H75" s="166"/>
      <c r="I75" s="27"/>
      <c r="J75" s="285"/>
      <c r="K75" s="44"/>
      <c r="L75" s="252"/>
      <c r="M75" s="27"/>
      <c r="N75" s="148"/>
    </row>
    <row r="76" spans="1:14" s="3" customFormat="1" x14ac:dyDescent="0.2">
      <c r="A76" s="21" t="s">
        <v>355</v>
      </c>
      <c r="B76" s="232"/>
      <c r="C76" s="145"/>
      <c r="D76" s="166"/>
      <c r="E76" s="27"/>
      <c r="F76" s="232"/>
      <c r="G76" s="145"/>
      <c r="H76" s="166"/>
      <c r="I76" s="27"/>
      <c r="J76" s="285"/>
      <c r="K76" s="44"/>
      <c r="L76" s="252"/>
      <c r="M76" s="27"/>
      <c r="N76" s="148"/>
    </row>
    <row r="77" spans="1:14" ht="15.75" x14ac:dyDescent="0.2">
      <c r="A77" s="21" t="s">
        <v>388</v>
      </c>
      <c r="B77" s="232"/>
      <c r="C77" s="232"/>
      <c r="D77" s="166"/>
      <c r="E77" s="27"/>
      <c r="F77" s="232"/>
      <c r="G77" s="145"/>
      <c r="H77" s="166"/>
      <c r="I77" s="27"/>
      <c r="J77" s="285"/>
      <c r="K77" s="44"/>
      <c r="L77" s="252"/>
      <c r="M77" s="27"/>
    </row>
    <row r="78" spans="1:14" x14ac:dyDescent="0.2">
      <c r="A78" s="21" t="s">
        <v>9</v>
      </c>
      <c r="B78" s="232"/>
      <c r="C78" s="145"/>
      <c r="D78" s="166"/>
      <c r="E78" s="27"/>
      <c r="F78" s="232"/>
      <c r="G78" s="145"/>
      <c r="H78" s="166"/>
      <c r="I78" s="27"/>
      <c r="J78" s="285"/>
      <c r="K78" s="44"/>
      <c r="L78" s="252"/>
      <c r="M78" s="27"/>
    </row>
    <row r="79" spans="1:14" x14ac:dyDescent="0.2">
      <c r="A79" s="21" t="s">
        <v>10</v>
      </c>
      <c r="B79" s="290"/>
      <c r="C79" s="291"/>
      <c r="D79" s="166"/>
      <c r="E79" s="27"/>
      <c r="F79" s="290"/>
      <c r="G79" s="291"/>
      <c r="H79" s="166"/>
      <c r="I79" s="27"/>
      <c r="J79" s="285"/>
      <c r="K79" s="44"/>
      <c r="L79" s="252"/>
      <c r="M79" s="27"/>
    </row>
    <row r="80" spans="1:14" ht="15.75" x14ac:dyDescent="0.2">
      <c r="A80" s="294" t="s">
        <v>386</v>
      </c>
      <c r="B80" s="279"/>
      <c r="C80" s="279"/>
      <c r="D80" s="166"/>
      <c r="E80" s="363"/>
      <c r="F80" s="279"/>
      <c r="G80" s="279"/>
      <c r="H80" s="166"/>
      <c r="I80" s="363"/>
      <c r="J80" s="288"/>
      <c r="K80" s="288"/>
      <c r="L80" s="166"/>
      <c r="M80" s="23"/>
    </row>
    <row r="81" spans="1:13" x14ac:dyDescent="0.2">
      <c r="A81" s="294" t="s">
        <v>12</v>
      </c>
      <c r="B81" s="233"/>
      <c r="C81" s="287"/>
      <c r="D81" s="166"/>
      <c r="E81" s="363"/>
      <c r="F81" s="279"/>
      <c r="G81" s="279"/>
      <c r="H81" s="166"/>
      <c r="I81" s="363"/>
      <c r="J81" s="288"/>
      <c r="K81" s="288"/>
      <c r="L81" s="166"/>
      <c r="M81" s="23"/>
    </row>
    <row r="82" spans="1:13" x14ac:dyDescent="0.2">
      <c r="A82" s="294" t="s">
        <v>13</v>
      </c>
      <c r="B82" s="233"/>
      <c r="C82" s="287"/>
      <c r="D82" s="166"/>
      <c r="E82" s="363"/>
      <c r="F82" s="279"/>
      <c r="G82" s="279"/>
      <c r="H82" s="166"/>
      <c r="I82" s="363"/>
      <c r="J82" s="288"/>
      <c r="K82" s="288"/>
      <c r="L82" s="166"/>
      <c r="M82" s="23"/>
    </row>
    <row r="83" spans="1:13" ht="15.75" x14ac:dyDescent="0.2">
      <c r="A83" s="294" t="s">
        <v>387</v>
      </c>
      <c r="B83" s="279"/>
      <c r="C83" s="279"/>
      <c r="D83" s="166"/>
      <c r="E83" s="363"/>
      <c r="F83" s="279"/>
      <c r="G83" s="279"/>
      <c r="H83" s="166"/>
      <c r="I83" s="363"/>
      <c r="J83" s="288"/>
      <c r="K83" s="288"/>
      <c r="L83" s="166"/>
      <c r="M83" s="23"/>
    </row>
    <row r="84" spans="1:13" x14ac:dyDescent="0.2">
      <c r="A84" s="294" t="s">
        <v>12</v>
      </c>
      <c r="B84" s="233"/>
      <c r="C84" s="287"/>
      <c r="D84" s="166"/>
      <c r="E84" s="363"/>
      <c r="F84" s="279"/>
      <c r="G84" s="279"/>
      <c r="H84" s="166"/>
      <c r="I84" s="363"/>
      <c r="J84" s="288"/>
      <c r="K84" s="288"/>
      <c r="L84" s="166"/>
      <c r="M84" s="23"/>
    </row>
    <row r="85" spans="1:13" x14ac:dyDescent="0.2">
      <c r="A85" s="294" t="s">
        <v>13</v>
      </c>
      <c r="B85" s="233"/>
      <c r="C85" s="287"/>
      <c r="D85" s="166"/>
      <c r="E85" s="363"/>
      <c r="F85" s="279"/>
      <c r="G85" s="279"/>
      <c r="H85" s="166"/>
      <c r="I85" s="363"/>
      <c r="J85" s="288"/>
      <c r="K85" s="288"/>
      <c r="L85" s="166"/>
      <c r="M85" s="23"/>
    </row>
    <row r="86" spans="1:13" ht="15.75" x14ac:dyDescent="0.2">
      <c r="A86" s="21" t="s">
        <v>389</v>
      </c>
      <c r="B86" s="232"/>
      <c r="C86" s="145"/>
      <c r="D86" s="166"/>
      <c r="E86" s="27"/>
      <c r="F86" s="232"/>
      <c r="G86" s="145"/>
      <c r="H86" s="166"/>
      <c r="I86" s="27"/>
      <c r="J86" s="285"/>
      <c r="K86" s="44"/>
      <c r="L86" s="252"/>
      <c r="M86" s="27"/>
    </row>
    <row r="87" spans="1:13" ht="15.75" x14ac:dyDescent="0.2">
      <c r="A87" s="13" t="s">
        <v>371</v>
      </c>
      <c r="B87" s="350"/>
      <c r="C87" s="350"/>
      <c r="D87" s="171"/>
      <c r="E87" s="11"/>
      <c r="F87" s="349"/>
      <c r="G87" s="349"/>
      <c r="H87" s="171"/>
      <c r="I87" s="11"/>
      <c r="J87" s="307"/>
      <c r="K87" s="234"/>
      <c r="L87" s="371"/>
      <c r="M87" s="11"/>
    </row>
    <row r="88" spans="1:13" x14ac:dyDescent="0.2">
      <c r="A88" s="21" t="s">
        <v>9</v>
      </c>
      <c r="B88" s="232"/>
      <c r="C88" s="145"/>
      <c r="D88" s="166"/>
      <c r="E88" s="27"/>
      <c r="F88" s="232"/>
      <c r="G88" s="145"/>
      <c r="H88" s="166"/>
      <c r="I88" s="27"/>
      <c r="J88" s="285"/>
      <c r="K88" s="44"/>
      <c r="L88" s="252"/>
      <c r="M88" s="27"/>
    </row>
    <row r="89" spans="1:13" x14ac:dyDescent="0.2">
      <c r="A89" s="21" t="s">
        <v>10</v>
      </c>
      <c r="B89" s="232"/>
      <c r="C89" s="145"/>
      <c r="D89" s="166"/>
      <c r="E89" s="27"/>
      <c r="F89" s="232"/>
      <c r="G89" s="145"/>
      <c r="H89" s="166"/>
      <c r="I89" s="27"/>
      <c r="J89" s="285"/>
      <c r="K89" s="44"/>
      <c r="L89" s="252"/>
      <c r="M89" s="27"/>
    </row>
    <row r="90" spans="1:13" ht="15.75" x14ac:dyDescent="0.2">
      <c r="A90" s="294" t="s">
        <v>386</v>
      </c>
      <c r="B90" s="279"/>
      <c r="C90" s="279"/>
      <c r="D90" s="166"/>
      <c r="E90" s="363"/>
      <c r="F90" s="279"/>
      <c r="G90" s="279"/>
      <c r="H90" s="166"/>
      <c r="I90" s="363"/>
      <c r="J90" s="288"/>
      <c r="K90" s="288"/>
      <c r="L90" s="166"/>
      <c r="M90" s="23"/>
    </row>
    <row r="91" spans="1:13" x14ac:dyDescent="0.2">
      <c r="A91" s="294" t="s">
        <v>12</v>
      </c>
      <c r="B91" s="233"/>
      <c r="C91" s="287"/>
      <c r="D91" s="166"/>
      <c r="E91" s="363"/>
      <c r="F91" s="279"/>
      <c r="G91" s="279"/>
      <c r="H91" s="166"/>
      <c r="I91" s="363"/>
      <c r="J91" s="288"/>
      <c r="K91" s="288"/>
      <c r="L91" s="166"/>
      <c r="M91" s="23"/>
    </row>
    <row r="92" spans="1:13" x14ac:dyDescent="0.2">
      <c r="A92" s="294" t="s">
        <v>13</v>
      </c>
      <c r="B92" s="233"/>
      <c r="C92" s="287"/>
      <c r="D92" s="166"/>
      <c r="E92" s="363"/>
      <c r="F92" s="279"/>
      <c r="G92" s="279"/>
      <c r="H92" s="166"/>
      <c r="I92" s="363"/>
      <c r="J92" s="288"/>
      <c r="K92" s="288"/>
      <c r="L92" s="166"/>
      <c r="M92" s="23"/>
    </row>
    <row r="93" spans="1:13" ht="15.75" x14ac:dyDescent="0.2">
      <c r="A93" s="294" t="s">
        <v>387</v>
      </c>
      <c r="B93" s="279"/>
      <c r="C93" s="279"/>
      <c r="D93" s="166"/>
      <c r="E93" s="363"/>
      <c r="F93" s="279"/>
      <c r="G93" s="279"/>
      <c r="H93" s="166"/>
      <c r="I93" s="363"/>
      <c r="J93" s="288"/>
      <c r="K93" s="288"/>
      <c r="L93" s="166"/>
      <c r="M93" s="23"/>
    </row>
    <row r="94" spans="1:13" x14ac:dyDescent="0.2">
      <c r="A94" s="294" t="s">
        <v>12</v>
      </c>
      <c r="B94" s="233"/>
      <c r="C94" s="287"/>
      <c r="D94" s="166"/>
      <c r="E94" s="363"/>
      <c r="F94" s="279"/>
      <c r="G94" s="279"/>
      <c r="H94" s="166"/>
      <c r="I94" s="363"/>
      <c r="J94" s="288"/>
      <c r="K94" s="288"/>
      <c r="L94" s="166"/>
      <c r="M94" s="23"/>
    </row>
    <row r="95" spans="1:13" x14ac:dyDescent="0.2">
      <c r="A95" s="294" t="s">
        <v>13</v>
      </c>
      <c r="B95" s="233"/>
      <c r="C95" s="287"/>
      <c r="D95" s="166"/>
      <c r="E95" s="363"/>
      <c r="F95" s="279"/>
      <c r="G95" s="279"/>
      <c r="H95" s="166"/>
      <c r="I95" s="363"/>
      <c r="J95" s="288"/>
      <c r="K95" s="288"/>
      <c r="L95" s="166"/>
      <c r="M95" s="23"/>
    </row>
    <row r="96" spans="1:13" x14ac:dyDescent="0.2">
      <c r="A96" s="21" t="s">
        <v>354</v>
      </c>
      <c r="B96" s="232"/>
      <c r="C96" s="145"/>
      <c r="D96" s="166"/>
      <c r="E96" s="27"/>
      <c r="F96" s="232"/>
      <c r="G96" s="145"/>
      <c r="H96" s="166"/>
      <c r="I96" s="27"/>
      <c r="J96" s="285"/>
      <c r="K96" s="44"/>
      <c r="L96" s="252"/>
      <c r="M96" s="27"/>
    </row>
    <row r="97" spans="1:13" x14ac:dyDescent="0.2">
      <c r="A97" s="21" t="s">
        <v>353</v>
      </c>
      <c r="B97" s="232"/>
      <c r="C97" s="145"/>
      <c r="D97" s="166"/>
      <c r="E97" s="27"/>
      <c r="F97" s="232"/>
      <c r="G97" s="145"/>
      <c r="H97" s="166"/>
      <c r="I97" s="27"/>
      <c r="J97" s="285"/>
      <c r="K97" s="44"/>
      <c r="L97" s="252"/>
      <c r="M97" s="27"/>
    </row>
    <row r="98" spans="1:13" ht="15.75" x14ac:dyDescent="0.2">
      <c r="A98" s="21" t="s">
        <v>388</v>
      </c>
      <c r="B98" s="232"/>
      <c r="C98" s="232"/>
      <c r="D98" s="166"/>
      <c r="E98" s="27"/>
      <c r="F98" s="290"/>
      <c r="G98" s="290"/>
      <c r="H98" s="166"/>
      <c r="I98" s="27"/>
      <c r="J98" s="285"/>
      <c r="K98" s="44"/>
      <c r="L98" s="252"/>
      <c r="M98" s="27"/>
    </row>
    <row r="99" spans="1:13" x14ac:dyDescent="0.2">
      <c r="A99" s="21" t="s">
        <v>9</v>
      </c>
      <c r="B99" s="290"/>
      <c r="C99" s="291"/>
      <c r="D99" s="166"/>
      <c r="E99" s="27"/>
      <c r="F99" s="232"/>
      <c r="G99" s="145"/>
      <c r="H99" s="166"/>
      <c r="I99" s="27"/>
      <c r="J99" s="285"/>
      <c r="K99" s="44"/>
      <c r="L99" s="252"/>
      <c r="M99" s="27"/>
    </row>
    <row r="100" spans="1:13" x14ac:dyDescent="0.2">
      <c r="A100" s="21" t="s">
        <v>10</v>
      </c>
      <c r="B100" s="290"/>
      <c r="C100" s="291"/>
      <c r="D100" s="166"/>
      <c r="E100" s="27"/>
      <c r="F100" s="232"/>
      <c r="G100" s="232"/>
      <c r="H100" s="166"/>
      <c r="I100" s="27"/>
      <c r="J100" s="285"/>
      <c r="K100" s="44"/>
      <c r="L100" s="252"/>
      <c r="M100" s="27"/>
    </row>
    <row r="101" spans="1:13" ht="15.75" x14ac:dyDescent="0.2">
      <c r="A101" s="294" t="s">
        <v>386</v>
      </c>
      <c r="B101" s="279"/>
      <c r="C101" s="279"/>
      <c r="D101" s="166"/>
      <c r="E101" s="363"/>
      <c r="F101" s="279"/>
      <c r="G101" s="279"/>
      <c r="H101" s="166"/>
      <c r="I101" s="363"/>
      <c r="J101" s="288"/>
      <c r="K101" s="288"/>
      <c r="L101" s="166"/>
      <c r="M101" s="23"/>
    </row>
    <row r="102" spans="1:13" x14ac:dyDescent="0.2">
      <c r="A102" s="294" t="s">
        <v>12</v>
      </c>
      <c r="B102" s="233"/>
      <c r="C102" s="287"/>
      <c r="D102" s="166"/>
      <c r="E102" s="363"/>
      <c r="F102" s="279"/>
      <c r="G102" s="279"/>
      <c r="H102" s="166"/>
      <c r="I102" s="363"/>
      <c r="J102" s="288"/>
      <c r="K102" s="288"/>
      <c r="L102" s="166"/>
      <c r="M102" s="23"/>
    </row>
    <row r="103" spans="1:13" x14ac:dyDescent="0.2">
      <c r="A103" s="294" t="s">
        <v>13</v>
      </c>
      <c r="B103" s="233"/>
      <c r="C103" s="287"/>
      <c r="D103" s="166"/>
      <c r="E103" s="363"/>
      <c r="F103" s="279"/>
      <c r="G103" s="279"/>
      <c r="H103" s="166"/>
      <c r="I103" s="363"/>
      <c r="J103" s="288"/>
      <c r="K103" s="288"/>
      <c r="L103" s="166"/>
      <c r="M103" s="23"/>
    </row>
    <row r="104" spans="1:13" ht="15.75" x14ac:dyDescent="0.2">
      <c r="A104" s="294" t="s">
        <v>387</v>
      </c>
      <c r="B104" s="279"/>
      <c r="C104" s="279"/>
      <c r="D104" s="166"/>
      <c r="E104" s="363"/>
      <c r="F104" s="279"/>
      <c r="G104" s="279"/>
      <c r="H104" s="166"/>
      <c r="I104" s="363"/>
      <c r="J104" s="288"/>
      <c r="K104" s="288"/>
      <c r="L104" s="166"/>
      <c r="M104" s="23"/>
    </row>
    <row r="105" spans="1:13" x14ac:dyDescent="0.2">
      <c r="A105" s="294" t="s">
        <v>12</v>
      </c>
      <c r="B105" s="233"/>
      <c r="C105" s="287"/>
      <c r="D105" s="166"/>
      <c r="E105" s="363"/>
      <c r="F105" s="279"/>
      <c r="G105" s="279"/>
      <c r="H105" s="166"/>
      <c r="I105" s="363"/>
      <c r="J105" s="288"/>
      <c r="K105" s="288"/>
      <c r="L105" s="166"/>
      <c r="M105" s="23"/>
    </row>
    <row r="106" spans="1:13" x14ac:dyDescent="0.2">
      <c r="A106" s="294" t="s">
        <v>13</v>
      </c>
      <c r="B106" s="233"/>
      <c r="C106" s="287"/>
      <c r="D106" s="166"/>
      <c r="E106" s="363"/>
      <c r="F106" s="279"/>
      <c r="G106" s="279"/>
      <c r="H106" s="166"/>
      <c r="I106" s="363"/>
      <c r="J106" s="288"/>
      <c r="K106" s="288"/>
      <c r="L106" s="166"/>
      <c r="M106" s="23"/>
    </row>
    <row r="107" spans="1:13" ht="15.75" x14ac:dyDescent="0.2">
      <c r="A107" s="21" t="s">
        <v>389</v>
      </c>
      <c r="B107" s="232"/>
      <c r="C107" s="145"/>
      <c r="D107" s="166"/>
      <c r="E107" s="27"/>
      <c r="F107" s="232"/>
      <c r="G107" s="145"/>
      <c r="H107" s="166"/>
      <c r="I107" s="27"/>
      <c r="J107" s="285"/>
      <c r="K107" s="44"/>
      <c r="L107" s="252"/>
      <c r="M107" s="27"/>
    </row>
    <row r="108" spans="1:13" ht="15.75" x14ac:dyDescent="0.2">
      <c r="A108" s="21" t="s">
        <v>390</v>
      </c>
      <c r="B108" s="232"/>
      <c r="C108" s="232"/>
      <c r="D108" s="166"/>
      <c r="E108" s="27"/>
      <c r="F108" s="232"/>
      <c r="G108" s="232"/>
      <c r="H108" s="166"/>
      <c r="I108" s="27"/>
      <c r="J108" s="285"/>
      <c r="K108" s="44"/>
      <c r="L108" s="252"/>
      <c r="M108" s="27"/>
    </row>
    <row r="109" spans="1:13" ht="15.75" x14ac:dyDescent="0.2">
      <c r="A109" s="21" t="s">
        <v>391</v>
      </c>
      <c r="B109" s="232"/>
      <c r="C109" s="232"/>
      <c r="D109" s="166"/>
      <c r="E109" s="27"/>
      <c r="F109" s="232"/>
      <c r="G109" s="232"/>
      <c r="H109" s="166"/>
      <c r="I109" s="27"/>
      <c r="J109" s="285"/>
      <c r="K109" s="44"/>
      <c r="L109" s="252"/>
      <c r="M109" s="27"/>
    </row>
    <row r="110" spans="1:13" ht="15.75" x14ac:dyDescent="0.2">
      <c r="A110" s="21" t="s">
        <v>392</v>
      </c>
      <c r="B110" s="232"/>
      <c r="C110" s="232"/>
      <c r="D110" s="166"/>
      <c r="E110" s="27"/>
      <c r="F110" s="232"/>
      <c r="G110" s="232"/>
      <c r="H110" s="166"/>
      <c r="I110" s="27"/>
      <c r="J110" s="285"/>
      <c r="K110" s="44"/>
      <c r="L110" s="252"/>
      <c r="M110" s="27"/>
    </row>
    <row r="111" spans="1:13" ht="15.75" x14ac:dyDescent="0.2">
      <c r="A111" s="13" t="s">
        <v>372</v>
      </c>
      <c r="B111" s="306"/>
      <c r="C111" s="159"/>
      <c r="D111" s="171"/>
      <c r="E111" s="11"/>
      <c r="F111" s="306"/>
      <c r="G111" s="159"/>
      <c r="H111" s="171"/>
      <c r="I111" s="11"/>
      <c r="J111" s="307"/>
      <c r="K111" s="234"/>
      <c r="L111" s="371"/>
      <c r="M111" s="11"/>
    </row>
    <row r="112" spans="1:13" x14ac:dyDescent="0.2">
      <c r="A112" s="21" t="s">
        <v>9</v>
      </c>
      <c r="B112" s="232"/>
      <c r="C112" s="145"/>
      <c r="D112" s="166"/>
      <c r="E112" s="27"/>
      <c r="F112" s="232"/>
      <c r="G112" s="145"/>
      <c r="H112" s="166"/>
      <c r="I112" s="27"/>
      <c r="J112" s="285"/>
      <c r="K112" s="44"/>
      <c r="L112" s="252"/>
      <c r="M112" s="27"/>
    </row>
    <row r="113" spans="1:14" x14ac:dyDescent="0.2">
      <c r="A113" s="21" t="s">
        <v>10</v>
      </c>
      <c r="B113" s="232"/>
      <c r="C113" s="145"/>
      <c r="D113" s="166"/>
      <c r="E113" s="27"/>
      <c r="F113" s="232"/>
      <c r="G113" s="145"/>
      <c r="H113" s="166"/>
      <c r="I113" s="27"/>
      <c r="J113" s="285"/>
      <c r="K113" s="44"/>
      <c r="L113" s="252"/>
      <c r="M113" s="27"/>
    </row>
    <row r="114" spans="1:14" x14ac:dyDescent="0.2">
      <c r="A114" s="21" t="s">
        <v>26</v>
      </c>
      <c r="B114" s="232"/>
      <c r="C114" s="145"/>
      <c r="D114" s="166"/>
      <c r="E114" s="27"/>
      <c r="F114" s="232"/>
      <c r="G114" s="145"/>
      <c r="H114" s="166"/>
      <c r="I114" s="27"/>
      <c r="J114" s="285"/>
      <c r="K114" s="44"/>
      <c r="L114" s="252"/>
      <c r="M114" s="27"/>
    </row>
    <row r="115" spans="1:14" x14ac:dyDescent="0.2">
      <c r="A115" s="294" t="s">
        <v>15</v>
      </c>
      <c r="B115" s="279"/>
      <c r="C115" s="279"/>
      <c r="D115" s="166"/>
      <c r="E115" s="363"/>
      <c r="F115" s="279"/>
      <c r="G115" s="279"/>
      <c r="H115" s="166"/>
      <c r="I115" s="363"/>
      <c r="J115" s="288"/>
      <c r="K115" s="288"/>
      <c r="L115" s="166"/>
      <c r="M115" s="23"/>
    </row>
    <row r="116" spans="1:14" ht="15.75" x14ac:dyDescent="0.2">
      <c r="A116" s="21" t="s">
        <v>393</v>
      </c>
      <c r="B116" s="232"/>
      <c r="C116" s="232"/>
      <c r="D116" s="166"/>
      <c r="E116" s="27"/>
      <c r="F116" s="232"/>
      <c r="G116" s="232"/>
      <c r="H116" s="166"/>
      <c r="I116" s="27"/>
      <c r="J116" s="285"/>
      <c r="K116" s="44"/>
      <c r="L116" s="252"/>
      <c r="M116" s="27"/>
    </row>
    <row r="117" spans="1:14" ht="15.75" x14ac:dyDescent="0.2">
      <c r="A117" s="21" t="s">
        <v>394</v>
      </c>
      <c r="B117" s="232"/>
      <c r="C117" s="232"/>
      <c r="D117" s="166"/>
      <c r="E117" s="27"/>
      <c r="F117" s="232"/>
      <c r="G117" s="232"/>
      <c r="H117" s="166"/>
      <c r="I117" s="27"/>
      <c r="J117" s="285"/>
      <c r="K117" s="44"/>
      <c r="L117" s="252"/>
      <c r="M117" s="27"/>
    </row>
    <row r="118" spans="1:14" ht="15.75" x14ac:dyDescent="0.2">
      <c r="A118" s="21" t="s">
        <v>392</v>
      </c>
      <c r="B118" s="232"/>
      <c r="C118" s="232"/>
      <c r="D118" s="166"/>
      <c r="E118" s="27"/>
      <c r="F118" s="232"/>
      <c r="G118" s="232"/>
      <c r="H118" s="166"/>
      <c r="I118" s="27"/>
      <c r="J118" s="285"/>
      <c r="K118" s="44"/>
      <c r="L118" s="252"/>
      <c r="M118" s="27"/>
    </row>
    <row r="119" spans="1:14" ht="15.75" x14ac:dyDescent="0.2">
      <c r="A119" s="13" t="s">
        <v>373</v>
      </c>
      <c r="B119" s="306"/>
      <c r="C119" s="159"/>
      <c r="D119" s="171"/>
      <c r="E119" s="11"/>
      <c r="F119" s="306"/>
      <c r="G119" s="159"/>
      <c r="H119" s="171"/>
      <c r="I119" s="11"/>
      <c r="J119" s="307"/>
      <c r="K119" s="234"/>
      <c r="L119" s="371"/>
      <c r="M119" s="11"/>
    </row>
    <row r="120" spans="1:14" x14ac:dyDescent="0.2">
      <c r="A120" s="21" t="s">
        <v>9</v>
      </c>
      <c r="B120" s="232"/>
      <c r="C120" s="145"/>
      <c r="D120" s="166"/>
      <c r="E120" s="27"/>
      <c r="F120" s="232"/>
      <c r="G120" s="145"/>
      <c r="H120" s="166"/>
      <c r="I120" s="27"/>
      <c r="J120" s="285"/>
      <c r="K120" s="44"/>
      <c r="L120" s="252"/>
      <c r="M120" s="27"/>
    </row>
    <row r="121" spans="1:14" x14ac:dyDescent="0.2">
      <c r="A121" s="21" t="s">
        <v>10</v>
      </c>
      <c r="B121" s="232"/>
      <c r="C121" s="145"/>
      <c r="D121" s="166"/>
      <c r="E121" s="27"/>
      <c r="F121" s="232"/>
      <c r="G121" s="145"/>
      <c r="H121" s="166"/>
      <c r="I121" s="27"/>
      <c r="J121" s="285"/>
      <c r="K121" s="44"/>
      <c r="L121" s="252"/>
      <c r="M121" s="27"/>
    </row>
    <row r="122" spans="1:14" x14ac:dyDescent="0.2">
      <c r="A122" s="21" t="s">
        <v>26</v>
      </c>
      <c r="B122" s="232"/>
      <c r="C122" s="145"/>
      <c r="D122" s="166"/>
      <c r="E122" s="27"/>
      <c r="F122" s="232"/>
      <c r="G122" s="145"/>
      <c r="H122" s="166"/>
      <c r="I122" s="27"/>
      <c r="J122" s="285"/>
      <c r="K122" s="44"/>
      <c r="L122" s="252"/>
      <c r="M122" s="27"/>
    </row>
    <row r="123" spans="1:14" x14ac:dyDescent="0.2">
      <c r="A123" s="294" t="s">
        <v>14</v>
      </c>
      <c r="B123" s="279"/>
      <c r="C123" s="279"/>
      <c r="D123" s="166"/>
      <c r="E123" s="363"/>
      <c r="F123" s="279"/>
      <c r="G123" s="279"/>
      <c r="H123" s="166"/>
      <c r="I123" s="363"/>
      <c r="J123" s="288"/>
      <c r="K123" s="288"/>
      <c r="L123" s="166"/>
      <c r="M123" s="23"/>
    </row>
    <row r="124" spans="1:14" ht="15.75" x14ac:dyDescent="0.2">
      <c r="A124" s="21" t="s">
        <v>399</v>
      </c>
      <c r="B124" s="232"/>
      <c r="C124" s="232"/>
      <c r="D124" s="166"/>
      <c r="E124" s="27"/>
      <c r="F124" s="232"/>
      <c r="G124" s="232"/>
      <c r="H124" s="166"/>
      <c r="I124" s="27"/>
      <c r="J124" s="285"/>
      <c r="K124" s="44"/>
      <c r="L124" s="252"/>
      <c r="M124" s="27"/>
    </row>
    <row r="125" spans="1:14" ht="15.75" x14ac:dyDescent="0.2">
      <c r="A125" s="21" t="s">
        <v>391</v>
      </c>
      <c r="B125" s="232"/>
      <c r="C125" s="232"/>
      <c r="D125" s="166"/>
      <c r="E125" s="27"/>
      <c r="F125" s="232"/>
      <c r="G125" s="232"/>
      <c r="H125" s="166"/>
      <c r="I125" s="27"/>
      <c r="J125" s="285"/>
      <c r="K125" s="44"/>
      <c r="L125" s="252"/>
      <c r="M125" s="27"/>
    </row>
    <row r="126" spans="1:14" ht="15.75" x14ac:dyDescent="0.2">
      <c r="A126" s="10" t="s">
        <v>392</v>
      </c>
      <c r="B126" s="45"/>
      <c r="C126" s="45"/>
      <c r="D126" s="167"/>
      <c r="E126" s="364"/>
      <c r="F126" s="45"/>
      <c r="G126" s="45"/>
      <c r="H126" s="167"/>
      <c r="I126" s="22"/>
      <c r="J126" s="286"/>
      <c r="K126" s="45"/>
      <c r="L126" s="253"/>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95"/>
      <c r="C130" s="695"/>
      <c r="D130" s="695"/>
      <c r="E130" s="297"/>
      <c r="F130" s="695"/>
      <c r="G130" s="695"/>
      <c r="H130" s="695"/>
      <c r="I130" s="297"/>
      <c r="J130" s="695"/>
      <c r="K130" s="695"/>
      <c r="L130" s="695"/>
      <c r="M130" s="297"/>
    </row>
    <row r="131" spans="1:14" s="3" customFormat="1" x14ac:dyDescent="0.2">
      <c r="A131" s="144"/>
      <c r="B131" s="696" t="s">
        <v>0</v>
      </c>
      <c r="C131" s="697"/>
      <c r="D131" s="697"/>
      <c r="E131" s="299"/>
      <c r="F131" s="696" t="s">
        <v>1</v>
      </c>
      <c r="G131" s="697"/>
      <c r="H131" s="697"/>
      <c r="I131" s="302"/>
      <c r="J131" s="696" t="s">
        <v>2</v>
      </c>
      <c r="K131" s="697"/>
      <c r="L131" s="697"/>
      <c r="M131" s="302"/>
      <c r="N131" s="148"/>
    </row>
    <row r="132" spans="1:14" s="3" customFormat="1" x14ac:dyDescent="0.2">
      <c r="A132" s="140"/>
      <c r="B132" s="152" t="s">
        <v>422</v>
      </c>
      <c r="C132" s="152" t="s">
        <v>423</v>
      </c>
      <c r="D132" s="243" t="s">
        <v>3</v>
      </c>
      <c r="E132" s="303" t="s">
        <v>29</v>
      </c>
      <c r="F132" s="152" t="s">
        <v>422</v>
      </c>
      <c r="G132" s="152" t="s">
        <v>423</v>
      </c>
      <c r="H132" s="205" t="s">
        <v>3</v>
      </c>
      <c r="I132" s="162" t="s">
        <v>29</v>
      </c>
      <c r="J132" s="152" t="s">
        <v>422</v>
      </c>
      <c r="K132" s="152" t="s">
        <v>423</v>
      </c>
      <c r="L132" s="244" t="s">
        <v>3</v>
      </c>
      <c r="M132" s="162" t="s">
        <v>29</v>
      </c>
      <c r="N132" s="148"/>
    </row>
    <row r="133" spans="1:14" s="3" customFormat="1" x14ac:dyDescent="0.2">
      <c r="A133" s="666"/>
      <c r="B133" s="156"/>
      <c r="C133" s="156"/>
      <c r="D133" s="244" t="s">
        <v>4</v>
      </c>
      <c r="E133" s="156" t="s">
        <v>30</v>
      </c>
      <c r="F133" s="161"/>
      <c r="G133" s="161"/>
      <c r="H133" s="205" t="s">
        <v>4</v>
      </c>
      <c r="I133" s="156" t="s">
        <v>30</v>
      </c>
      <c r="J133" s="156"/>
      <c r="K133" s="156"/>
      <c r="L133" s="150" t="s">
        <v>4</v>
      </c>
      <c r="M133" s="156" t="s">
        <v>30</v>
      </c>
      <c r="N133" s="148"/>
    </row>
    <row r="134" spans="1:14" s="3" customFormat="1" ht="15.75" x14ac:dyDescent="0.2">
      <c r="A134" s="14" t="s">
        <v>395</v>
      </c>
      <c r="B134" s="234"/>
      <c r="C134" s="307"/>
      <c r="D134" s="347"/>
      <c r="E134" s="11"/>
      <c r="F134" s="314"/>
      <c r="G134" s="315"/>
      <c r="H134" s="374"/>
      <c r="I134" s="24"/>
      <c r="J134" s="316"/>
      <c r="K134" s="316"/>
      <c r="L134" s="370"/>
      <c r="M134" s="11"/>
      <c r="N134" s="148"/>
    </row>
    <row r="135" spans="1:14" s="3" customFormat="1" ht="15.75" x14ac:dyDescent="0.2">
      <c r="A135" s="13" t="s">
        <v>400</v>
      </c>
      <c r="B135" s="234"/>
      <c r="C135" s="307"/>
      <c r="D135" s="171"/>
      <c r="E135" s="11"/>
      <c r="F135" s="234"/>
      <c r="G135" s="307"/>
      <c r="H135" s="375"/>
      <c r="I135" s="24"/>
      <c r="J135" s="306"/>
      <c r="K135" s="306"/>
      <c r="L135" s="371"/>
      <c r="M135" s="11"/>
      <c r="N135" s="148"/>
    </row>
    <row r="136" spans="1:14" s="3" customFormat="1" ht="15.75" x14ac:dyDescent="0.2">
      <c r="A136" s="13" t="s">
        <v>397</v>
      </c>
      <c r="B136" s="234"/>
      <c r="C136" s="307"/>
      <c r="D136" s="171"/>
      <c r="E136" s="11"/>
      <c r="F136" s="234"/>
      <c r="G136" s="307"/>
      <c r="H136" s="375"/>
      <c r="I136" s="24"/>
      <c r="J136" s="306"/>
      <c r="K136" s="306"/>
      <c r="L136" s="371"/>
      <c r="M136" s="11"/>
      <c r="N136" s="148"/>
    </row>
    <row r="137" spans="1:14" s="3" customFormat="1" ht="15.75" x14ac:dyDescent="0.2">
      <c r="A137" s="41" t="s">
        <v>398</v>
      </c>
      <c r="B137" s="274"/>
      <c r="C137" s="313"/>
      <c r="D137" s="169"/>
      <c r="E137" s="9"/>
      <c r="F137" s="274"/>
      <c r="G137" s="313"/>
      <c r="H137" s="376"/>
      <c r="I137" s="36"/>
      <c r="J137" s="312"/>
      <c r="K137" s="312"/>
      <c r="L137" s="372"/>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278" priority="117">
      <formula>kvartal &lt; 4</formula>
    </cfRule>
  </conditionalFormatting>
  <conditionalFormatting sqref="B69">
    <cfRule type="expression" dxfId="277" priority="85">
      <formula>kvartal &lt; 4</formula>
    </cfRule>
  </conditionalFormatting>
  <conditionalFormatting sqref="C69">
    <cfRule type="expression" dxfId="276" priority="84">
      <formula>kvartal &lt; 4</formula>
    </cfRule>
  </conditionalFormatting>
  <conditionalFormatting sqref="B72">
    <cfRule type="expression" dxfId="275" priority="83">
      <formula>kvartal &lt; 4</formula>
    </cfRule>
  </conditionalFormatting>
  <conditionalFormatting sqref="C72">
    <cfRule type="expression" dxfId="274" priority="82">
      <formula>kvartal &lt; 4</formula>
    </cfRule>
  </conditionalFormatting>
  <conditionalFormatting sqref="B80">
    <cfRule type="expression" dxfId="273" priority="81">
      <formula>kvartal &lt; 4</formula>
    </cfRule>
  </conditionalFormatting>
  <conditionalFormatting sqref="C80">
    <cfRule type="expression" dxfId="272" priority="80">
      <formula>kvartal &lt; 4</formula>
    </cfRule>
  </conditionalFormatting>
  <conditionalFormatting sqref="B83">
    <cfRule type="expression" dxfId="271" priority="79">
      <formula>kvartal &lt; 4</formula>
    </cfRule>
  </conditionalFormatting>
  <conditionalFormatting sqref="C83">
    <cfRule type="expression" dxfId="270" priority="78">
      <formula>kvartal &lt; 4</formula>
    </cfRule>
  </conditionalFormatting>
  <conditionalFormatting sqref="B90">
    <cfRule type="expression" dxfId="269" priority="69">
      <formula>kvartal &lt; 4</formula>
    </cfRule>
  </conditionalFormatting>
  <conditionalFormatting sqref="C90">
    <cfRule type="expression" dxfId="268" priority="68">
      <formula>kvartal &lt; 4</formula>
    </cfRule>
  </conditionalFormatting>
  <conditionalFormatting sqref="B93">
    <cfRule type="expression" dxfId="267" priority="67">
      <formula>kvartal &lt; 4</formula>
    </cfRule>
  </conditionalFormatting>
  <conditionalFormatting sqref="C93">
    <cfRule type="expression" dxfId="266" priority="66">
      <formula>kvartal &lt; 4</formula>
    </cfRule>
  </conditionalFormatting>
  <conditionalFormatting sqref="B101">
    <cfRule type="expression" dxfId="265" priority="65">
      <formula>kvartal &lt; 4</formula>
    </cfRule>
  </conditionalFormatting>
  <conditionalFormatting sqref="C101">
    <cfRule type="expression" dxfId="264" priority="64">
      <formula>kvartal &lt; 4</formula>
    </cfRule>
  </conditionalFormatting>
  <conditionalFormatting sqref="B104">
    <cfRule type="expression" dxfId="263" priority="63">
      <formula>kvartal &lt; 4</formula>
    </cfRule>
  </conditionalFormatting>
  <conditionalFormatting sqref="C104">
    <cfRule type="expression" dxfId="262" priority="62">
      <formula>kvartal &lt; 4</formula>
    </cfRule>
  </conditionalFormatting>
  <conditionalFormatting sqref="B115">
    <cfRule type="expression" dxfId="261" priority="61">
      <formula>kvartal &lt; 4</formula>
    </cfRule>
  </conditionalFormatting>
  <conditionalFormatting sqref="C115">
    <cfRule type="expression" dxfId="260" priority="60">
      <formula>kvartal &lt; 4</formula>
    </cfRule>
  </conditionalFormatting>
  <conditionalFormatting sqref="B123">
    <cfRule type="expression" dxfId="259" priority="59">
      <formula>kvartal &lt; 4</formula>
    </cfRule>
  </conditionalFormatting>
  <conditionalFormatting sqref="C123">
    <cfRule type="expression" dxfId="258" priority="58">
      <formula>kvartal &lt; 4</formula>
    </cfRule>
  </conditionalFormatting>
  <conditionalFormatting sqref="F70">
    <cfRule type="expression" dxfId="257" priority="57">
      <formula>kvartal &lt; 4</formula>
    </cfRule>
  </conditionalFormatting>
  <conditionalFormatting sqref="G70">
    <cfRule type="expression" dxfId="256" priority="56">
      <formula>kvartal &lt; 4</formula>
    </cfRule>
  </conditionalFormatting>
  <conditionalFormatting sqref="F71:G71">
    <cfRule type="expression" dxfId="255" priority="55">
      <formula>kvartal &lt; 4</formula>
    </cfRule>
  </conditionalFormatting>
  <conditionalFormatting sqref="F73:G74">
    <cfRule type="expression" dxfId="254" priority="54">
      <formula>kvartal &lt; 4</formula>
    </cfRule>
  </conditionalFormatting>
  <conditionalFormatting sqref="F81:G82">
    <cfRule type="expression" dxfId="253" priority="53">
      <formula>kvartal &lt; 4</formula>
    </cfRule>
  </conditionalFormatting>
  <conditionalFormatting sqref="F84:G85">
    <cfRule type="expression" dxfId="252" priority="52">
      <formula>kvartal &lt; 4</formula>
    </cfRule>
  </conditionalFormatting>
  <conditionalFormatting sqref="F91:G92">
    <cfRule type="expression" dxfId="251" priority="47">
      <formula>kvartal &lt; 4</formula>
    </cfRule>
  </conditionalFormatting>
  <conditionalFormatting sqref="F94:G95">
    <cfRule type="expression" dxfId="250" priority="46">
      <formula>kvartal &lt; 4</formula>
    </cfRule>
  </conditionalFormatting>
  <conditionalFormatting sqref="F102:G103">
    <cfRule type="expression" dxfId="249" priority="45">
      <formula>kvartal &lt; 4</formula>
    </cfRule>
  </conditionalFormatting>
  <conditionalFormatting sqref="F105:G106">
    <cfRule type="expression" dxfId="248" priority="44">
      <formula>kvartal &lt; 4</formula>
    </cfRule>
  </conditionalFormatting>
  <conditionalFormatting sqref="F115">
    <cfRule type="expression" dxfId="247" priority="43">
      <formula>kvartal &lt; 4</formula>
    </cfRule>
  </conditionalFormatting>
  <conditionalFormatting sqref="G115">
    <cfRule type="expression" dxfId="246" priority="42">
      <formula>kvartal &lt; 4</formula>
    </cfRule>
  </conditionalFormatting>
  <conditionalFormatting sqref="F123:G123">
    <cfRule type="expression" dxfId="245" priority="41">
      <formula>kvartal &lt; 4</formula>
    </cfRule>
  </conditionalFormatting>
  <conditionalFormatting sqref="F69:G69">
    <cfRule type="expression" dxfId="244" priority="40">
      <formula>kvartal &lt; 4</formula>
    </cfRule>
  </conditionalFormatting>
  <conditionalFormatting sqref="F72:G72">
    <cfRule type="expression" dxfId="243" priority="39">
      <formula>kvartal &lt; 4</formula>
    </cfRule>
  </conditionalFormatting>
  <conditionalFormatting sqref="F80:G80">
    <cfRule type="expression" dxfId="242" priority="38">
      <formula>kvartal &lt; 4</formula>
    </cfRule>
  </conditionalFormatting>
  <conditionalFormatting sqref="F83:G83">
    <cfRule type="expression" dxfId="241" priority="37">
      <formula>kvartal &lt; 4</formula>
    </cfRule>
  </conditionalFormatting>
  <conditionalFormatting sqref="F90:G90">
    <cfRule type="expression" dxfId="240" priority="31">
      <formula>kvartal &lt; 4</formula>
    </cfRule>
  </conditionalFormatting>
  <conditionalFormatting sqref="F93">
    <cfRule type="expression" dxfId="239" priority="30">
      <formula>kvartal &lt; 4</formula>
    </cfRule>
  </conditionalFormatting>
  <conditionalFormatting sqref="G93">
    <cfRule type="expression" dxfId="238" priority="29">
      <formula>kvartal &lt; 4</formula>
    </cfRule>
  </conditionalFormatting>
  <conditionalFormatting sqref="F101">
    <cfRule type="expression" dxfId="237" priority="28">
      <formula>kvartal &lt; 4</formula>
    </cfRule>
  </conditionalFormatting>
  <conditionalFormatting sqref="G101">
    <cfRule type="expression" dxfId="236" priority="27">
      <formula>kvartal &lt; 4</formula>
    </cfRule>
  </conditionalFormatting>
  <conditionalFormatting sqref="G104">
    <cfRule type="expression" dxfId="235" priority="26">
      <formula>kvartal &lt; 4</formula>
    </cfRule>
  </conditionalFormatting>
  <conditionalFormatting sqref="F104">
    <cfRule type="expression" dxfId="234" priority="25">
      <formula>kvartal &lt; 4</formula>
    </cfRule>
  </conditionalFormatting>
  <conditionalFormatting sqref="J69:K73">
    <cfRule type="expression" dxfId="233" priority="24">
      <formula>kvartal &lt; 4</formula>
    </cfRule>
  </conditionalFormatting>
  <conditionalFormatting sqref="J74:K74">
    <cfRule type="expression" dxfId="232" priority="23">
      <formula>kvartal &lt; 4</formula>
    </cfRule>
  </conditionalFormatting>
  <conditionalFormatting sqref="J80:K85">
    <cfRule type="expression" dxfId="231" priority="22">
      <formula>kvartal &lt; 4</formula>
    </cfRule>
  </conditionalFormatting>
  <conditionalFormatting sqref="J90:K95">
    <cfRule type="expression" dxfId="230" priority="19">
      <formula>kvartal &lt; 4</formula>
    </cfRule>
  </conditionalFormatting>
  <conditionalFormatting sqref="J101:K106">
    <cfRule type="expression" dxfId="229" priority="18">
      <formula>kvartal &lt; 4</formula>
    </cfRule>
  </conditionalFormatting>
  <conditionalFormatting sqref="J115:K115">
    <cfRule type="expression" dxfId="228" priority="17">
      <formula>kvartal &lt; 4</formula>
    </cfRule>
  </conditionalFormatting>
  <conditionalFormatting sqref="J123:K123">
    <cfRule type="expression" dxfId="227" priority="16">
      <formula>kvartal &lt; 4</formula>
    </cfRule>
  </conditionalFormatting>
  <conditionalFormatting sqref="A50:A52">
    <cfRule type="expression" dxfId="226" priority="12">
      <formula>kvartal &lt; 4</formula>
    </cfRule>
  </conditionalFormatting>
  <conditionalFormatting sqref="A69:A74">
    <cfRule type="expression" dxfId="225" priority="10">
      <formula>kvartal &lt; 4</formula>
    </cfRule>
  </conditionalFormatting>
  <conditionalFormatting sqref="A80:A85">
    <cfRule type="expression" dxfId="224" priority="9">
      <formula>kvartal &lt; 4</formula>
    </cfRule>
  </conditionalFormatting>
  <conditionalFormatting sqref="A90:A95">
    <cfRule type="expression" dxfId="223" priority="6">
      <formula>kvartal &lt; 4</formula>
    </cfRule>
  </conditionalFormatting>
  <conditionalFormatting sqref="A101:A106">
    <cfRule type="expression" dxfId="222" priority="5">
      <formula>kvartal &lt; 4</formula>
    </cfRule>
  </conditionalFormatting>
  <conditionalFormatting sqref="A115">
    <cfRule type="expression" dxfId="221" priority="4">
      <formula>kvartal &lt; 4</formula>
    </cfRule>
  </conditionalFormatting>
  <conditionalFormatting sqref="A123">
    <cfRule type="expression" dxfId="220" priority="3">
      <formula>kvartal &lt; 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176"/>
  <sheetViews>
    <sheetView showGridLines="0" showZeros="0" zoomScale="90" zoomScaleNormal="90" workbookViewId="0">
      <selection activeCell="A4" sqref="A4"/>
    </sheetView>
  </sheetViews>
  <sheetFormatPr baseColWidth="10" defaultColWidth="11.42578125" defaultRowHeight="18.75" x14ac:dyDescent="0.3"/>
  <cols>
    <col min="10" max="11" width="16.7109375" customWidth="1"/>
    <col min="12" max="12" width="20.7109375" style="74" customWidth="1"/>
    <col min="13" max="14" width="15.85546875" style="74" bestFit="1" customWidth="1"/>
    <col min="15" max="15" width="22.85546875" customWidth="1"/>
    <col min="16" max="16" width="13.42578125" customWidth="1"/>
    <col min="17" max="17" width="13.85546875" customWidth="1"/>
  </cols>
  <sheetData>
    <row r="1" spans="1:15" x14ac:dyDescent="0.3">
      <c r="A1" s="73" t="s">
        <v>52</v>
      </c>
    </row>
    <row r="2" spans="1:15" x14ac:dyDescent="0.3">
      <c r="A2" s="75"/>
      <c r="B2" s="74"/>
      <c r="C2" s="74"/>
      <c r="D2" s="74"/>
      <c r="E2" s="74"/>
      <c r="F2" s="74"/>
      <c r="G2" s="74"/>
      <c r="H2" s="74"/>
      <c r="I2" s="74"/>
      <c r="J2" s="74"/>
      <c r="K2" s="74"/>
      <c r="O2" s="74"/>
    </row>
    <row r="3" spans="1:15" x14ac:dyDescent="0.3">
      <c r="A3" s="75" t="s">
        <v>32</v>
      </c>
      <c r="B3" s="74"/>
      <c r="C3" s="74"/>
      <c r="D3" s="74"/>
      <c r="E3" s="74"/>
      <c r="F3" s="74"/>
      <c r="G3" s="74"/>
      <c r="H3" s="74"/>
      <c r="I3" s="74"/>
      <c r="J3" s="74"/>
      <c r="K3" s="74"/>
      <c r="O3" s="74"/>
    </row>
    <row r="4" spans="1:15" x14ac:dyDescent="0.3">
      <c r="A4" s="74"/>
      <c r="B4" s="74"/>
      <c r="C4" s="74"/>
      <c r="D4" s="74"/>
      <c r="E4" s="74"/>
      <c r="F4" s="74"/>
      <c r="G4" s="74"/>
      <c r="H4" s="74"/>
      <c r="I4" s="74"/>
      <c r="J4" s="74"/>
      <c r="K4" s="74"/>
      <c r="L4" s="76"/>
      <c r="O4" s="74"/>
    </row>
    <row r="5" spans="1:15" x14ac:dyDescent="0.3">
      <c r="A5" s="75" t="s">
        <v>408</v>
      </c>
      <c r="B5" s="74"/>
      <c r="C5" s="74"/>
      <c r="D5" s="74"/>
      <c r="E5" s="74"/>
      <c r="F5" s="74"/>
      <c r="G5" s="74"/>
      <c r="H5" s="74"/>
      <c r="I5" s="79"/>
      <c r="J5" s="74"/>
      <c r="K5" s="74"/>
      <c r="O5" s="74"/>
    </row>
    <row r="6" spans="1:15" x14ac:dyDescent="0.3">
      <c r="A6" s="74"/>
      <c r="B6" s="74"/>
      <c r="C6" s="74"/>
      <c r="D6" s="74"/>
      <c r="E6" s="74"/>
      <c r="F6" s="74"/>
      <c r="G6" s="74"/>
      <c r="H6" s="74"/>
      <c r="I6" s="74"/>
      <c r="J6" s="74"/>
      <c r="K6" s="74"/>
      <c r="L6" s="74" t="s">
        <v>53</v>
      </c>
      <c r="O6" s="74"/>
    </row>
    <row r="7" spans="1:15" x14ac:dyDescent="0.3">
      <c r="A7" s="74"/>
      <c r="B7" s="74"/>
      <c r="C7" s="74"/>
      <c r="D7" s="74"/>
      <c r="E7" s="74"/>
      <c r="F7" s="74"/>
      <c r="G7" s="74"/>
      <c r="H7" s="74"/>
      <c r="I7" s="74"/>
      <c r="J7" s="74"/>
      <c r="K7" s="74"/>
      <c r="L7" s="74" t="s">
        <v>0</v>
      </c>
      <c r="O7" s="74"/>
    </row>
    <row r="8" spans="1:15" x14ac:dyDescent="0.3">
      <c r="A8" s="74"/>
      <c r="B8" s="74"/>
      <c r="C8" s="74"/>
      <c r="D8" s="74"/>
      <c r="E8" s="74"/>
      <c r="F8" s="74"/>
      <c r="G8" s="74"/>
      <c r="H8" s="74"/>
      <c r="I8" s="74"/>
      <c r="J8" s="74"/>
      <c r="K8" s="74"/>
      <c r="M8" s="74">
        <v>2018</v>
      </c>
      <c r="N8" s="74">
        <v>2019</v>
      </c>
      <c r="O8" s="74"/>
    </row>
    <row r="9" spans="1:15" x14ac:dyDescent="0.3">
      <c r="A9" s="74"/>
      <c r="B9" s="74"/>
      <c r="C9" s="74"/>
      <c r="D9" s="74"/>
      <c r="E9" s="74"/>
      <c r="F9" s="74"/>
      <c r="G9" s="74"/>
      <c r="H9" s="74"/>
      <c r="I9" s="74"/>
      <c r="J9" s="74"/>
      <c r="K9" s="74"/>
      <c r="M9" s="77"/>
      <c r="N9" s="77"/>
      <c r="O9" s="74"/>
    </row>
    <row r="10" spans="1:15" x14ac:dyDescent="0.3">
      <c r="A10" s="74"/>
      <c r="B10" s="74"/>
      <c r="C10" s="74"/>
      <c r="D10" s="74"/>
      <c r="E10" s="74"/>
      <c r="F10" s="74"/>
      <c r="G10" s="74"/>
      <c r="H10" s="74"/>
      <c r="I10" s="74"/>
      <c r="J10" s="74"/>
      <c r="K10" s="74"/>
      <c r="L10" s="74" t="s">
        <v>54</v>
      </c>
      <c r="M10" s="77">
        <f>'Tabel 1.1'!B9</f>
        <v>207699.397</v>
      </c>
      <c r="N10" s="77">
        <f>'Tabel 1.1'!C9</f>
        <v>211735.83299999998</v>
      </c>
      <c r="O10" s="74"/>
    </row>
    <row r="11" spans="1:15" x14ac:dyDescent="0.3">
      <c r="A11" s="74"/>
      <c r="B11" s="74"/>
      <c r="C11" s="74"/>
      <c r="D11" s="74"/>
      <c r="E11" s="74"/>
      <c r="F11" s="74"/>
      <c r="G11" s="74"/>
      <c r="H11" s="74"/>
      <c r="I11" s="74"/>
      <c r="J11" s="74"/>
      <c r="K11" s="74"/>
      <c r="L11" s="74" t="s">
        <v>55</v>
      </c>
      <c r="M11" s="77">
        <f>'Tabel 1.1'!B10</f>
        <v>2678691</v>
      </c>
      <c r="N11" s="77">
        <f>'Tabel 1.1'!C10</f>
        <v>2712593.8971199999</v>
      </c>
      <c r="O11" s="74"/>
    </row>
    <row r="12" spans="1:15" x14ac:dyDescent="0.3">
      <c r="A12" s="74"/>
      <c r="B12" s="74"/>
      <c r="C12" s="74"/>
      <c r="D12" s="74"/>
      <c r="E12" s="74"/>
      <c r="F12" s="74"/>
      <c r="G12" s="74"/>
      <c r="H12" s="74"/>
      <c r="I12" s="74"/>
      <c r="J12" s="74"/>
      <c r="K12" s="74"/>
      <c r="L12" s="74" t="s">
        <v>56</v>
      </c>
      <c r="M12" s="77">
        <f>'Tabel 1.1'!B11</f>
        <v>167974</v>
      </c>
      <c r="N12" s="77">
        <f>'Tabel 1.1'!C11</f>
        <v>192435</v>
      </c>
      <c r="O12" s="74"/>
    </row>
    <row r="13" spans="1:15" x14ac:dyDescent="0.3">
      <c r="A13" s="74"/>
      <c r="B13" s="74"/>
      <c r="C13" s="74"/>
      <c r="D13" s="74"/>
      <c r="E13" s="74"/>
      <c r="F13" s="74"/>
      <c r="G13" s="74"/>
      <c r="H13" s="74"/>
      <c r="I13" s="74"/>
      <c r="J13" s="74"/>
      <c r="K13" s="74"/>
      <c r="L13" s="74" t="s">
        <v>57</v>
      </c>
      <c r="M13" s="77">
        <f>'Tabel 1.1'!B12</f>
        <v>461898</v>
      </c>
      <c r="N13" s="77">
        <f>'Tabel 1.1'!C12</f>
        <v>491921</v>
      </c>
      <c r="O13" s="74"/>
    </row>
    <row r="14" spans="1:15" x14ac:dyDescent="0.3">
      <c r="A14" s="74"/>
      <c r="B14" s="74"/>
      <c r="C14" s="74"/>
      <c r="D14" s="74"/>
      <c r="E14" s="74"/>
      <c r="F14" s="74"/>
      <c r="G14" s="74"/>
      <c r="H14" s="74"/>
      <c r="I14" s="74"/>
      <c r="J14" s="74"/>
      <c r="K14" s="74"/>
      <c r="L14" s="74" t="s">
        <v>58</v>
      </c>
      <c r="M14" s="77">
        <f>'Tabel 1.1'!B13</f>
        <v>5092</v>
      </c>
      <c r="N14" s="77">
        <f>'Tabel 1.1'!C13</f>
        <v>1977</v>
      </c>
      <c r="O14" s="74"/>
    </row>
    <row r="15" spans="1:15" x14ac:dyDescent="0.3">
      <c r="A15" s="74"/>
      <c r="B15" s="74"/>
      <c r="C15" s="74"/>
      <c r="D15" s="74"/>
      <c r="E15" s="74"/>
      <c r="F15" s="74"/>
      <c r="G15" s="74"/>
      <c r="H15" s="74"/>
      <c r="I15" s="74"/>
      <c r="J15" s="74"/>
      <c r="K15" s="74"/>
      <c r="L15" s="74" t="s">
        <v>59</v>
      </c>
      <c r="M15" s="77">
        <f>'Tabel 1.1'!B14</f>
        <v>1211719</v>
      </c>
      <c r="N15" s="77">
        <f>'Tabel 1.1'!C14</f>
        <v>1200340</v>
      </c>
      <c r="O15" s="74"/>
    </row>
    <row r="16" spans="1:15" x14ac:dyDescent="0.3">
      <c r="A16" s="74"/>
      <c r="B16" s="74"/>
      <c r="C16" s="74"/>
      <c r="D16" s="74"/>
      <c r="E16" s="74"/>
      <c r="F16" s="74"/>
      <c r="G16" s="74"/>
      <c r="H16" s="74"/>
      <c r="I16" s="74"/>
      <c r="J16" s="74"/>
      <c r="K16" s="74"/>
      <c r="L16" s="74" t="s">
        <v>60</v>
      </c>
      <c r="M16" s="77">
        <f>'Tabel 1.1'!B15</f>
        <v>315310</v>
      </c>
      <c r="N16" s="77">
        <f>'Tabel 1.1'!C15</f>
        <v>350587.6</v>
      </c>
      <c r="O16" s="74"/>
    </row>
    <row r="17" spans="1:15" x14ac:dyDescent="0.3">
      <c r="A17" s="74"/>
      <c r="B17" s="74"/>
      <c r="C17" s="74"/>
      <c r="D17" s="74"/>
      <c r="E17" s="74"/>
      <c r="F17" s="74"/>
      <c r="G17" s="74"/>
      <c r="H17" s="74"/>
      <c r="I17" s="74"/>
      <c r="J17" s="74"/>
      <c r="K17" s="74"/>
      <c r="L17" s="74" t="s">
        <v>61</v>
      </c>
      <c r="M17" s="77">
        <f>'Tabel 1.1'!B16</f>
        <v>19122</v>
      </c>
      <c r="N17" s="77">
        <f>'Tabel 1.1'!C16</f>
        <v>18102</v>
      </c>
      <c r="O17" s="74"/>
    </row>
    <row r="18" spans="1:15" x14ac:dyDescent="0.3">
      <c r="A18" s="74"/>
      <c r="B18" s="74"/>
      <c r="C18" s="74"/>
      <c r="D18" s="74"/>
      <c r="E18" s="74"/>
      <c r="F18" s="74"/>
      <c r="G18" s="74"/>
      <c r="H18" s="74"/>
      <c r="I18" s="74"/>
      <c r="J18" s="74"/>
      <c r="K18" s="74"/>
      <c r="L18" s="74" t="s">
        <v>62</v>
      </c>
      <c r="M18" s="77">
        <f>'Tabel 1.1'!B17</f>
        <v>273642.10161000001</v>
      </c>
      <c r="N18" s="77">
        <f>'Tabel 1.1'!C17</f>
        <v>278836.821</v>
      </c>
      <c r="O18" s="74"/>
    </row>
    <row r="19" spans="1:15" x14ac:dyDescent="0.3">
      <c r="A19" s="74"/>
      <c r="B19" s="74"/>
      <c r="C19" s="74"/>
      <c r="D19" s="74"/>
      <c r="E19" s="74"/>
      <c r="F19" s="74"/>
      <c r="G19" s="74"/>
      <c r="H19" s="74"/>
      <c r="I19" s="74"/>
      <c r="J19" s="74"/>
      <c r="K19" s="74"/>
      <c r="L19" s="74" t="s">
        <v>63</v>
      </c>
      <c r="M19" s="77">
        <f>'Tabel 1.1'!B18</f>
        <v>21895155.24456</v>
      </c>
      <c r="N19" s="77">
        <f>'Tabel 1.1'!C18</f>
        <v>21744313.454720002</v>
      </c>
      <c r="O19" s="74"/>
    </row>
    <row r="20" spans="1:15" x14ac:dyDescent="0.3">
      <c r="A20" s="74"/>
      <c r="B20" s="74"/>
      <c r="C20" s="74"/>
      <c r="D20" s="74"/>
      <c r="E20" s="74"/>
      <c r="F20" s="74"/>
      <c r="G20" s="74"/>
      <c r="H20" s="74"/>
      <c r="I20" s="74"/>
      <c r="J20" s="74"/>
      <c r="K20" s="74"/>
      <c r="L20" s="74" t="s">
        <v>64</v>
      </c>
      <c r="M20" s="77">
        <f>'Tabel 1.1'!B19</f>
        <v>46821</v>
      </c>
      <c r="N20" s="77">
        <f>'Tabel 1.1'!C19</f>
        <v>47990</v>
      </c>
      <c r="O20" s="74"/>
    </row>
    <row r="21" spans="1:15" x14ac:dyDescent="0.3">
      <c r="A21" s="74"/>
      <c r="B21" s="74"/>
      <c r="C21" s="74"/>
      <c r="D21" s="74"/>
      <c r="E21" s="74"/>
      <c r="F21" s="74"/>
      <c r="G21" s="74"/>
      <c r="H21" s="74"/>
      <c r="I21" s="74"/>
      <c r="J21" s="74"/>
      <c r="K21" s="74"/>
      <c r="L21" s="74" t="s">
        <v>65</v>
      </c>
      <c r="M21" s="77">
        <f>'Tabel 1.1'!B20</f>
        <v>119515</v>
      </c>
      <c r="N21" s="77">
        <f>'Tabel 1.1'!C20</f>
        <v>154391</v>
      </c>
      <c r="O21" s="74"/>
    </row>
    <row r="22" spans="1:15" x14ac:dyDescent="0.3">
      <c r="A22" s="74"/>
      <c r="B22" s="74"/>
      <c r="C22" s="74"/>
      <c r="D22" s="74"/>
      <c r="E22" s="74"/>
      <c r="F22" s="74"/>
      <c r="G22" s="74"/>
      <c r="H22" s="74"/>
      <c r="I22" s="74"/>
      <c r="J22" s="74"/>
      <c r="K22" s="74"/>
      <c r="L22" s="74" t="s">
        <v>66</v>
      </c>
      <c r="M22" s="77">
        <f>'Tabel 1.1'!B21</f>
        <v>23683</v>
      </c>
      <c r="N22" s="77">
        <f>'Tabel 1.1'!C21</f>
        <v>26907</v>
      </c>
      <c r="O22" s="74"/>
    </row>
    <row r="23" spans="1:15" x14ac:dyDescent="0.3">
      <c r="A23" s="74"/>
      <c r="B23" s="74"/>
      <c r="C23" s="74"/>
      <c r="D23" s="74"/>
      <c r="E23" s="74"/>
      <c r="F23" s="74"/>
      <c r="G23" s="74"/>
      <c r="H23" s="74"/>
      <c r="I23" s="74"/>
      <c r="J23" s="74"/>
      <c r="K23" s="74"/>
      <c r="L23" s="74" t="s">
        <v>67</v>
      </c>
      <c r="M23" s="77">
        <f>'Tabel 1.1'!B22</f>
        <v>1012</v>
      </c>
      <c r="N23" s="77">
        <f>'Tabel 1.1'!C22</f>
        <v>9667.0010000000002</v>
      </c>
      <c r="O23" s="74"/>
    </row>
    <row r="24" spans="1:15" x14ac:dyDescent="0.3">
      <c r="A24" s="74"/>
      <c r="B24" s="74"/>
      <c r="C24" s="74"/>
      <c r="D24" s="74"/>
      <c r="E24" s="74"/>
      <c r="F24" s="74"/>
      <c r="G24" s="74"/>
      <c r="H24" s="74"/>
      <c r="I24" s="74"/>
      <c r="J24" s="74"/>
      <c r="K24" s="74"/>
      <c r="L24" s="74" t="s">
        <v>68</v>
      </c>
      <c r="M24" s="77">
        <f>'Tabel 1.1'!B23</f>
        <v>911121.95053652162</v>
      </c>
      <c r="N24" s="77">
        <f>'Tabel 1.1'!C23</f>
        <v>924775.23482409364</v>
      </c>
      <c r="O24" s="74"/>
    </row>
    <row r="25" spans="1:15" x14ac:dyDescent="0.3">
      <c r="A25" s="74"/>
      <c r="B25" s="74"/>
      <c r="C25" s="74"/>
      <c r="D25" s="74"/>
      <c r="E25" s="74"/>
      <c r="F25" s="74"/>
      <c r="G25" s="74"/>
      <c r="H25" s="74"/>
      <c r="I25" s="74"/>
      <c r="J25" s="74"/>
      <c r="K25" s="74"/>
      <c r="L25" s="74" t="s">
        <v>69</v>
      </c>
      <c r="M25" s="77">
        <f>'Tabel 1.1'!B24</f>
        <v>1444566</v>
      </c>
      <c r="N25" s="77">
        <f>'Tabel 1.1'!C24</f>
        <v>1806904</v>
      </c>
      <c r="O25" s="74"/>
    </row>
    <row r="26" spans="1:15" s="141" customFormat="1" x14ac:dyDescent="0.3">
      <c r="A26" s="74"/>
      <c r="B26" s="74"/>
      <c r="C26" s="74"/>
      <c r="D26" s="74"/>
      <c r="E26" s="74"/>
      <c r="F26" s="74"/>
      <c r="G26" s="74"/>
      <c r="H26" s="74"/>
      <c r="I26" s="74"/>
      <c r="J26" s="74"/>
      <c r="K26" s="74"/>
      <c r="L26" s="74" t="s">
        <v>402</v>
      </c>
      <c r="M26" s="77">
        <f>'Tabel 1.1'!B25</f>
        <v>251893.27284613601</v>
      </c>
      <c r="N26" s="77">
        <f>'Tabel 1.1'!C25</f>
        <v>254608.63609938539</v>
      </c>
      <c r="O26" s="74"/>
    </row>
    <row r="27" spans="1:15" x14ac:dyDescent="0.3">
      <c r="A27" s="74"/>
      <c r="B27" s="74"/>
      <c r="C27" s="74"/>
      <c r="D27" s="74"/>
      <c r="E27" s="74"/>
      <c r="F27" s="74"/>
      <c r="G27" s="74"/>
      <c r="H27" s="74"/>
      <c r="I27" s="74"/>
      <c r="J27" s="74"/>
      <c r="K27" s="74"/>
      <c r="L27" s="74" t="s">
        <v>70</v>
      </c>
      <c r="M27" s="77">
        <f>'Tabel 1.1'!B26</f>
        <v>1452699.33066</v>
      </c>
      <c r="N27" s="77">
        <f>'Tabel 1.1'!C26</f>
        <v>1574350.09069</v>
      </c>
      <c r="O27" s="74"/>
    </row>
    <row r="28" spans="1:15" x14ac:dyDescent="0.3">
      <c r="A28" s="74"/>
      <c r="B28" s="74"/>
      <c r="C28" s="74"/>
      <c r="D28" s="74"/>
      <c r="E28" s="74"/>
      <c r="F28" s="74"/>
      <c r="G28" s="74"/>
      <c r="H28" s="74"/>
      <c r="I28" s="74"/>
      <c r="J28" s="74"/>
      <c r="K28" s="74"/>
      <c r="L28" s="74" t="s">
        <v>71</v>
      </c>
      <c r="M28" s="77">
        <f>'Tabel 1.1'!B27</f>
        <v>3517282.2279999997</v>
      </c>
      <c r="N28" s="77">
        <f>'Tabel 1.1'!C27</f>
        <v>3421913.84</v>
      </c>
    </row>
    <row r="29" spans="1:15" x14ac:dyDescent="0.3">
      <c r="A29" s="74"/>
      <c r="B29" s="74"/>
      <c r="C29" s="74"/>
      <c r="D29" s="74"/>
      <c r="E29" s="74"/>
      <c r="F29" s="74"/>
      <c r="G29" s="74"/>
      <c r="H29" s="74"/>
      <c r="I29" s="74"/>
      <c r="J29" s="74"/>
      <c r="K29" s="74"/>
      <c r="L29" s="74" t="s">
        <v>72</v>
      </c>
      <c r="M29" s="77">
        <f>'Tabel 1.1'!B28</f>
        <v>20446</v>
      </c>
      <c r="N29" s="77">
        <f>'Tabel 1.1'!C28</f>
        <v>0</v>
      </c>
    </row>
    <row r="30" spans="1:15" x14ac:dyDescent="0.3">
      <c r="A30" s="74"/>
      <c r="B30" s="74"/>
      <c r="C30" s="74"/>
      <c r="D30" s="74"/>
      <c r="E30" s="74"/>
      <c r="F30" s="74"/>
      <c r="G30" s="74"/>
      <c r="H30" s="74"/>
      <c r="I30" s="74"/>
      <c r="J30" s="74"/>
      <c r="K30" s="74"/>
      <c r="L30" s="74" t="s">
        <v>73</v>
      </c>
      <c r="M30" s="77">
        <f>'Tabel 1.1'!B29</f>
        <v>458835</v>
      </c>
      <c r="N30" s="77">
        <f>'Tabel 1.1'!C29</f>
        <v>543064</v>
      </c>
    </row>
    <row r="31" spans="1:15" x14ac:dyDescent="0.3">
      <c r="A31" s="75" t="s">
        <v>409</v>
      </c>
      <c r="B31" s="74"/>
      <c r="C31" s="74"/>
      <c r="D31" s="74"/>
      <c r="E31" s="74"/>
      <c r="F31" s="74"/>
      <c r="G31" s="74"/>
      <c r="H31" s="74"/>
      <c r="I31" s="79"/>
      <c r="J31" s="74"/>
      <c r="K31" s="74"/>
    </row>
    <row r="32" spans="1:15" x14ac:dyDescent="0.3">
      <c r="B32" s="74"/>
      <c r="C32" s="74"/>
      <c r="D32" s="74"/>
      <c r="E32" s="74"/>
      <c r="F32" s="74"/>
      <c r="G32" s="74"/>
      <c r="H32" s="74"/>
      <c r="I32" s="74"/>
      <c r="J32" s="74"/>
      <c r="K32" s="74"/>
    </row>
    <row r="33" spans="1:15" x14ac:dyDescent="0.3">
      <c r="B33" s="74"/>
      <c r="C33" s="74"/>
      <c r="D33" s="74"/>
      <c r="E33" s="74"/>
      <c r="F33" s="74"/>
      <c r="G33" s="74"/>
      <c r="H33" s="74"/>
      <c r="I33" s="74"/>
      <c r="J33" s="74"/>
      <c r="K33" s="74"/>
    </row>
    <row r="34" spans="1:15" x14ac:dyDescent="0.3">
      <c r="A34" s="74"/>
      <c r="B34" s="74"/>
      <c r="C34" s="74"/>
      <c r="D34" s="74"/>
      <c r="E34" s="74"/>
      <c r="F34" s="74"/>
      <c r="G34" s="74"/>
      <c r="H34" s="74"/>
      <c r="I34" s="74"/>
      <c r="J34" s="74"/>
      <c r="K34" s="74"/>
      <c r="L34" s="74" t="s">
        <v>53</v>
      </c>
    </row>
    <row r="35" spans="1:15" x14ac:dyDescent="0.3">
      <c r="A35" s="74"/>
      <c r="B35" s="74"/>
      <c r="C35" s="74"/>
      <c r="D35" s="74"/>
      <c r="E35" s="74"/>
      <c r="F35" s="74"/>
      <c r="G35" s="74"/>
      <c r="H35" s="74"/>
      <c r="I35" s="74"/>
      <c r="J35" s="74"/>
      <c r="K35" s="74"/>
      <c r="L35" s="74" t="s">
        <v>1</v>
      </c>
    </row>
    <row r="36" spans="1:15" x14ac:dyDescent="0.3">
      <c r="A36" s="74"/>
      <c r="B36" s="74"/>
      <c r="C36" s="74"/>
      <c r="D36" s="74"/>
      <c r="E36" s="74"/>
      <c r="F36" s="74"/>
      <c r="G36" s="74"/>
      <c r="H36" s="74"/>
      <c r="I36" s="74"/>
      <c r="J36" s="74"/>
      <c r="K36" s="74"/>
      <c r="M36" s="74">
        <v>2018</v>
      </c>
      <c r="N36" s="74">
        <v>2019</v>
      </c>
    </row>
    <row r="37" spans="1:15" x14ac:dyDescent="0.3">
      <c r="A37" s="74"/>
      <c r="B37" s="74"/>
      <c r="C37" s="74"/>
      <c r="D37" s="74"/>
      <c r="E37" s="74"/>
      <c r="F37" s="74"/>
      <c r="G37" s="74"/>
      <c r="H37" s="74"/>
      <c r="I37" s="74"/>
      <c r="J37" s="74"/>
      <c r="K37" s="74"/>
      <c r="L37" s="79" t="s">
        <v>54</v>
      </c>
      <c r="M37" s="78">
        <f>'Tabel 1.1'!B33</f>
        <v>930551.38800000004</v>
      </c>
      <c r="N37" s="78">
        <f>'Tabel 1.1'!C33</f>
        <v>974428.50600000005</v>
      </c>
    </row>
    <row r="38" spans="1:15" x14ac:dyDescent="0.3">
      <c r="A38" s="74"/>
      <c r="B38" s="74"/>
      <c r="C38" s="74"/>
      <c r="D38" s="74"/>
      <c r="E38" s="74"/>
      <c r="F38" s="74"/>
      <c r="G38" s="74"/>
      <c r="H38" s="74"/>
      <c r="I38" s="74"/>
      <c r="J38" s="74"/>
      <c r="K38" s="74"/>
      <c r="L38" s="74" t="s">
        <v>55</v>
      </c>
      <c r="M38" s="78">
        <f>'Tabel 1.1'!B34</f>
        <v>4208747</v>
      </c>
      <c r="N38" s="78">
        <f>'Tabel 1.1'!C34</f>
        <v>4802393.8430000003</v>
      </c>
    </row>
    <row r="39" spans="1:15" x14ac:dyDescent="0.3">
      <c r="A39" s="74"/>
      <c r="B39" s="74"/>
      <c r="C39" s="74"/>
      <c r="D39" s="74"/>
      <c r="E39" s="74"/>
      <c r="F39" s="74"/>
      <c r="G39" s="74"/>
      <c r="H39" s="74"/>
      <c r="I39" s="74"/>
      <c r="J39" s="74"/>
      <c r="K39" s="74"/>
      <c r="L39" s="74" t="s">
        <v>57</v>
      </c>
      <c r="M39" s="78">
        <f>'Tabel 1.1'!B35</f>
        <v>178093</v>
      </c>
      <c r="N39" s="78">
        <f>'Tabel 1.1'!C35</f>
        <v>196043</v>
      </c>
    </row>
    <row r="40" spans="1:15" x14ac:dyDescent="0.3">
      <c r="A40" s="74"/>
      <c r="B40" s="74"/>
      <c r="C40" s="74"/>
      <c r="D40" s="74"/>
      <c r="E40" s="74"/>
      <c r="F40" s="74"/>
      <c r="G40" s="74"/>
      <c r="H40" s="74"/>
      <c r="I40" s="74"/>
      <c r="J40" s="74"/>
      <c r="K40" s="74"/>
      <c r="L40" s="79" t="s">
        <v>60</v>
      </c>
      <c r="M40" s="78">
        <f>'Tabel 1.1'!B36</f>
        <v>1378089</v>
      </c>
      <c r="N40" s="78">
        <f>'Tabel 1.1'!C36</f>
        <v>1561713.2</v>
      </c>
    </row>
    <row r="41" spans="1:15" x14ac:dyDescent="0.3">
      <c r="A41" s="74"/>
      <c r="B41" s="74"/>
      <c r="C41" s="74"/>
      <c r="D41" s="74"/>
      <c r="E41" s="74"/>
      <c r="F41" s="74"/>
      <c r="G41" s="74"/>
      <c r="H41" s="74"/>
      <c r="I41" s="74"/>
      <c r="J41" s="74"/>
      <c r="K41" s="74"/>
      <c r="L41" s="74" t="s">
        <v>63</v>
      </c>
      <c r="M41" s="78">
        <f>'Tabel 1.1'!B37</f>
        <v>90028.570999999996</v>
      </c>
      <c r="N41" s="78">
        <f>'Tabel 1.1'!C37</f>
        <v>89130.341</v>
      </c>
      <c r="O41" s="74"/>
    </row>
    <row r="42" spans="1:15" x14ac:dyDescent="0.3">
      <c r="A42" s="74"/>
      <c r="B42" s="74"/>
      <c r="C42" s="74"/>
      <c r="D42" s="74"/>
      <c r="E42" s="74"/>
      <c r="F42" s="74"/>
      <c r="G42" s="74"/>
      <c r="H42" s="74"/>
      <c r="I42" s="74"/>
      <c r="J42" s="74"/>
      <c r="K42" s="74"/>
      <c r="L42" s="79" t="s">
        <v>64</v>
      </c>
      <c r="M42" s="78">
        <f>'Tabel 1.1'!B38</f>
        <v>210392</v>
      </c>
      <c r="N42" s="78">
        <f>'Tabel 1.1'!C38</f>
        <v>267105</v>
      </c>
      <c r="O42" s="74"/>
    </row>
    <row r="43" spans="1:15" x14ac:dyDescent="0.3">
      <c r="A43" s="74"/>
      <c r="B43" s="74"/>
      <c r="C43" s="74"/>
      <c r="D43" s="74"/>
      <c r="E43" s="74"/>
      <c r="F43" s="74"/>
      <c r="G43" s="74"/>
      <c r="H43" s="74"/>
      <c r="I43" s="74"/>
      <c r="J43" s="74"/>
      <c r="K43" s="74"/>
      <c r="L43" s="79" t="s">
        <v>68</v>
      </c>
      <c r="M43" s="78">
        <f>'Tabel 1.1'!B39</f>
        <v>4286493.9119699998</v>
      </c>
      <c r="N43" s="78">
        <f>'Tabel 1.1'!C39</f>
        <v>5841396.8032999998</v>
      </c>
      <c r="O43" s="74"/>
    </row>
    <row r="44" spans="1:15" x14ac:dyDescent="0.3">
      <c r="A44" s="74"/>
      <c r="B44" s="74"/>
      <c r="C44" s="74"/>
      <c r="D44" s="74"/>
      <c r="E44" s="74"/>
      <c r="F44" s="74"/>
      <c r="G44" s="74"/>
      <c r="H44" s="74"/>
      <c r="I44" s="74"/>
      <c r="J44" s="74"/>
      <c r="K44" s="74"/>
      <c r="L44" s="79" t="s">
        <v>74</v>
      </c>
      <c r="M44" s="78">
        <f>'Tabel 1.1'!B40</f>
        <v>73667</v>
      </c>
      <c r="N44" s="78">
        <f>'Tabel 1.1'!C40</f>
        <v>69806.938299999994</v>
      </c>
      <c r="O44" s="74"/>
    </row>
    <row r="45" spans="1:15" x14ac:dyDescent="0.3">
      <c r="A45" s="74"/>
      <c r="B45" s="74"/>
      <c r="C45" s="74"/>
      <c r="D45" s="74"/>
      <c r="E45" s="74"/>
      <c r="F45" s="74"/>
      <c r="G45" s="74"/>
      <c r="H45" s="74"/>
      <c r="I45" s="74"/>
      <c r="J45" s="74"/>
      <c r="K45" s="74"/>
      <c r="L45" s="79" t="s">
        <v>70</v>
      </c>
      <c r="M45" s="78">
        <f>'Tabel 1.1'!B41</f>
        <v>1866273.1100599999</v>
      </c>
      <c r="N45" s="78">
        <f>'Tabel 1.1'!C41</f>
        <v>2141160.6392800002</v>
      </c>
      <c r="O45" s="74"/>
    </row>
    <row r="46" spans="1:15" x14ac:dyDescent="0.3">
      <c r="A46" s="74"/>
      <c r="B46" s="74"/>
      <c r="C46" s="74"/>
      <c r="D46" s="74"/>
      <c r="E46" s="74"/>
      <c r="F46" s="74"/>
      <c r="G46" s="74"/>
      <c r="H46" s="74"/>
      <c r="I46" s="74"/>
      <c r="J46" s="74"/>
      <c r="K46" s="74"/>
      <c r="L46" s="79" t="s">
        <v>75</v>
      </c>
      <c r="M46" s="78">
        <f>'Tabel 1.1'!B42</f>
        <v>5304820.9420000007</v>
      </c>
      <c r="N46" s="78">
        <f>'Tabel 1.1'!C42</f>
        <v>5450501.3129999992</v>
      </c>
      <c r="O46" s="74"/>
    </row>
    <row r="47" spans="1:15" x14ac:dyDescent="0.3">
      <c r="A47" s="74"/>
      <c r="B47" s="74"/>
      <c r="C47" s="74"/>
      <c r="D47" s="74"/>
      <c r="E47" s="74"/>
      <c r="F47" s="74"/>
      <c r="G47" s="74"/>
      <c r="H47" s="74"/>
      <c r="I47" s="74"/>
      <c r="J47" s="74"/>
      <c r="K47" s="74"/>
      <c r="L47" s="79"/>
      <c r="M47" s="78"/>
      <c r="N47" s="78"/>
      <c r="O47" s="74"/>
    </row>
    <row r="48" spans="1:15" x14ac:dyDescent="0.3">
      <c r="A48" s="74"/>
      <c r="B48" s="74"/>
      <c r="C48" s="74"/>
      <c r="D48" s="74"/>
      <c r="E48" s="74"/>
      <c r="F48" s="74"/>
      <c r="G48" s="74"/>
      <c r="H48" s="74"/>
      <c r="I48" s="74"/>
      <c r="J48" s="74"/>
      <c r="K48" s="74"/>
      <c r="M48" s="77"/>
      <c r="N48" s="77"/>
      <c r="O48" s="74"/>
    </row>
    <row r="49" spans="1:15" x14ac:dyDescent="0.3">
      <c r="A49" s="74"/>
      <c r="B49" s="74"/>
      <c r="C49" s="74"/>
      <c r="D49" s="74"/>
      <c r="E49" s="74"/>
      <c r="F49" s="74"/>
      <c r="G49" s="74"/>
      <c r="H49" s="74"/>
      <c r="I49" s="74"/>
      <c r="J49" s="74"/>
      <c r="K49" s="74"/>
      <c r="M49" s="77"/>
      <c r="N49" s="77"/>
      <c r="O49" s="74"/>
    </row>
    <row r="50" spans="1:15" x14ac:dyDescent="0.3">
      <c r="A50" s="74"/>
      <c r="B50" s="74"/>
      <c r="C50" s="74"/>
      <c r="D50" s="74"/>
      <c r="E50" s="74"/>
      <c r="F50" s="74"/>
      <c r="G50" s="74"/>
      <c r="H50" s="74"/>
      <c r="I50" s="74"/>
      <c r="J50" s="74"/>
      <c r="K50" s="74"/>
      <c r="M50" s="77"/>
      <c r="N50" s="77"/>
      <c r="O50" s="74"/>
    </row>
    <row r="51" spans="1:15" x14ac:dyDescent="0.3">
      <c r="A51" s="74"/>
      <c r="B51" s="74"/>
      <c r="C51" s="74"/>
      <c r="D51" s="74"/>
      <c r="E51" s="74"/>
      <c r="F51" s="74"/>
      <c r="G51" s="74"/>
      <c r="H51" s="74"/>
      <c r="I51" s="74"/>
      <c r="J51" s="74"/>
      <c r="K51" s="74"/>
      <c r="M51" s="77"/>
      <c r="N51" s="77"/>
      <c r="O51" s="74"/>
    </row>
    <row r="52" spans="1:15" x14ac:dyDescent="0.3">
      <c r="A52" s="74"/>
      <c r="B52" s="74"/>
      <c r="C52" s="74"/>
      <c r="D52" s="74"/>
      <c r="E52" s="74"/>
      <c r="F52" s="74"/>
      <c r="G52" s="74"/>
      <c r="H52" s="74"/>
      <c r="I52" s="74"/>
      <c r="J52" s="74"/>
      <c r="K52" s="74"/>
      <c r="O52" s="74"/>
    </row>
    <row r="53" spans="1:15" x14ac:dyDescent="0.3">
      <c r="A53" s="74"/>
      <c r="B53" s="74"/>
      <c r="C53" s="74"/>
      <c r="D53" s="74"/>
      <c r="E53" s="74"/>
      <c r="F53" s="74"/>
      <c r="G53" s="74"/>
      <c r="H53" s="74"/>
      <c r="I53" s="74"/>
      <c r="J53" s="74"/>
      <c r="K53" s="74"/>
      <c r="O53" s="74"/>
    </row>
    <row r="54" spans="1:15" x14ac:dyDescent="0.3">
      <c r="A54" s="74"/>
      <c r="B54" s="74"/>
      <c r="C54" s="74"/>
      <c r="D54" s="74"/>
      <c r="E54" s="74"/>
      <c r="F54" s="74"/>
      <c r="G54" s="74"/>
      <c r="H54" s="74"/>
      <c r="I54" s="74"/>
      <c r="J54" s="74"/>
      <c r="K54" s="74"/>
      <c r="O54" s="74"/>
    </row>
    <row r="55" spans="1:15" x14ac:dyDescent="0.3">
      <c r="A55" s="74"/>
      <c r="B55" s="74"/>
      <c r="C55" s="74"/>
      <c r="D55" s="74"/>
      <c r="E55" s="74"/>
      <c r="F55" s="74"/>
      <c r="G55" s="74"/>
      <c r="H55" s="74"/>
      <c r="I55" s="74"/>
      <c r="J55" s="74"/>
      <c r="K55" s="74"/>
      <c r="O55" s="74"/>
    </row>
    <row r="56" spans="1:15" x14ac:dyDescent="0.3">
      <c r="A56" s="75" t="s">
        <v>410</v>
      </c>
      <c r="B56" s="74"/>
      <c r="C56" s="74"/>
      <c r="D56" s="74"/>
      <c r="E56" s="74"/>
      <c r="F56" s="74"/>
      <c r="G56" s="74"/>
      <c r="H56" s="74"/>
      <c r="I56" s="79"/>
      <c r="J56" s="74"/>
      <c r="K56" s="74"/>
      <c r="O56" s="74"/>
    </row>
    <row r="57" spans="1:15" x14ac:dyDescent="0.3">
      <c r="A57" s="74"/>
      <c r="B57" s="74"/>
      <c r="C57" s="74"/>
      <c r="D57" s="74"/>
      <c r="E57" s="74"/>
      <c r="F57" s="74"/>
      <c r="G57" s="74"/>
      <c r="H57" s="74"/>
      <c r="I57" s="74"/>
      <c r="J57" s="74"/>
      <c r="K57" s="74"/>
      <c r="L57" s="74" t="s">
        <v>76</v>
      </c>
      <c r="O57" s="74"/>
    </row>
    <row r="58" spans="1:15" x14ac:dyDescent="0.3">
      <c r="A58" s="74"/>
      <c r="B58" s="74"/>
      <c r="C58" s="74"/>
      <c r="D58" s="74"/>
      <c r="E58" s="74"/>
      <c r="F58" s="74"/>
      <c r="G58" s="74"/>
      <c r="H58" s="74"/>
      <c r="I58" s="74"/>
      <c r="J58" s="74"/>
      <c r="K58" s="74"/>
      <c r="L58" s="74" t="s">
        <v>0</v>
      </c>
      <c r="O58" s="74"/>
    </row>
    <row r="59" spans="1:15" x14ac:dyDescent="0.3">
      <c r="A59" s="74"/>
      <c r="B59" s="74"/>
      <c r="C59" s="74"/>
      <c r="D59" s="74"/>
      <c r="E59" s="74"/>
      <c r="F59" s="74"/>
      <c r="G59" s="74"/>
      <c r="H59" s="74"/>
      <c r="I59" s="74"/>
      <c r="J59" s="74"/>
      <c r="K59" s="74"/>
      <c r="M59" s="74">
        <v>2018</v>
      </c>
      <c r="N59" s="74">
        <v>2019</v>
      </c>
      <c r="O59" s="74"/>
    </row>
    <row r="60" spans="1:15" x14ac:dyDescent="0.3">
      <c r="A60" s="74"/>
      <c r="B60" s="74"/>
      <c r="C60" s="74"/>
      <c r="D60" s="74"/>
      <c r="E60" s="74"/>
      <c r="F60" s="74"/>
      <c r="G60" s="74"/>
      <c r="H60" s="74"/>
      <c r="I60" s="74"/>
      <c r="J60" s="74"/>
      <c r="K60" s="74"/>
      <c r="L60" s="74" t="s">
        <v>54</v>
      </c>
      <c r="M60" s="77">
        <f>'Tabel 1.1'!G9</f>
        <v>1062443.889</v>
      </c>
      <c r="N60" s="77">
        <f>'Tabel 1.1'!H9</f>
        <v>1199454.547</v>
      </c>
      <c r="O60" s="74"/>
    </row>
    <row r="61" spans="1:15" x14ac:dyDescent="0.3">
      <c r="A61" s="74"/>
      <c r="B61" s="74"/>
      <c r="C61" s="74"/>
      <c r="D61" s="74"/>
      <c r="E61" s="74"/>
      <c r="F61" s="74"/>
      <c r="G61" s="74"/>
      <c r="H61" s="74"/>
      <c r="I61" s="74"/>
      <c r="J61" s="74"/>
      <c r="K61" s="74"/>
      <c r="L61" s="74" t="s">
        <v>55</v>
      </c>
      <c r="M61" s="77">
        <f>'Tabel 1.1'!G10</f>
        <v>201995081</v>
      </c>
      <c r="N61" s="77">
        <f>'Tabel 1.1'!H10</f>
        <v>199601126.12900001</v>
      </c>
      <c r="O61" s="74"/>
    </row>
    <row r="62" spans="1:15" x14ac:dyDescent="0.3">
      <c r="A62" s="74"/>
      <c r="B62" s="74"/>
      <c r="C62" s="74"/>
      <c r="D62" s="74"/>
      <c r="E62" s="74"/>
      <c r="F62" s="74"/>
      <c r="G62" s="74"/>
      <c r="H62" s="74"/>
      <c r="I62" s="74"/>
      <c r="J62" s="74"/>
      <c r="K62" s="74"/>
      <c r="L62" s="74" t="s">
        <v>56</v>
      </c>
      <c r="M62" s="77">
        <f>'Tabel 1.1'!G11</f>
        <v>0</v>
      </c>
      <c r="N62" s="77">
        <f>'Tabel 1.1'!H11</f>
        <v>0</v>
      </c>
      <c r="O62" s="74"/>
    </row>
    <row r="63" spans="1:15" x14ac:dyDescent="0.3">
      <c r="A63" s="74"/>
      <c r="B63" s="74"/>
      <c r="C63" s="74"/>
      <c r="D63" s="74"/>
      <c r="E63" s="74"/>
      <c r="F63" s="74"/>
      <c r="G63" s="74"/>
      <c r="H63" s="74"/>
      <c r="I63" s="74"/>
      <c r="J63" s="74"/>
      <c r="K63" s="74"/>
      <c r="L63" s="74" t="s">
        <v>57</v>
      </c>
      <c r="M63" s="77">
        <f>'Tabel 1.1'!G12</f>
        <v>913292</v>
      </c>
      <c r="N63" s="77">
        <f>'Tabel 1.1'!H12</f>
        <v>1044889</v>
      </c>
      <c r="O63" s="74"/>
    </row>
    <row r="64" spans="1:15" x14ac:dyDescent="0.3">
      <c r="A64" s="74"/>
      <c r="B64" s="74"/>
      <c r="C64" s="74"/>
      <c r="D64" s="74"/>
      <c r="E64" s="74"/>
      <c r="F64" s="74"/>
      <c r="G64" s="74"/>
      <c r="H64" s="74"/>
      <c r="I64" s="74"/>
      <c r="J64" s="74"/>
      <c r="K64" s="74"/>
      <c r="L64" s="74" t="s">
        <v>59</v>
      </c>
      <c r="M64" s="77">
        <f>'Tabel 1.1'!G13</f>
        <v>0</v>
      </c>
      <c r="N64" s="77">
        <f>'Tabel 1.1'!H13</f>
        <v>0</v>
      </c>
      <c r="O64" s="74"/>
    </row>
    <row r="65" spans="1:15" x14ac:dyDescent="0.3">
      <c r="A65" s="74"/>
      <c r="B65" s="74"/>
      <c r="C65" s="74"/>
      <c r="D65" s="74"/>
      <c r="E65" s="74"/>
      <c r="F65" s="74"/>
      <c r="G65" s="74"/>
      <c r="H65" s="74"/>
      <c r="I65" s="74"/>
      <c r="J65" s="74"/>
      <c r="K65" s="74"/>
      <c r="L65" s="74" t="s">
        <v>60</v>
      </c>
      <c r="M65" s="77">
        <f>'Tabel 1.1'!G15</f>
        <v>6339478</v>
      </c>
      <c r="N65" s="77">
        <f>'Tabel 1.1'!H15</f>
        <v>6946187</v>
      </c>
      <c r="O65" s="74"/>
    </row>
    <row r="66" spans="1:15" x14ac:dyDescent="0.3">
      <c r="A66" s="74"/>
      <c r="B66" s="74"/>
      <c r="C66" s="74"/>
      <c r="D66" s="74"/>
      <c r="E66" s="74"/>
      <c r="F66" s="74"/>
      <c r="G66" s="74"/>
      <c r="H66" s="74"/>
      <c r="I66" s="74"/>
      <c r="J66" s="74"/>
      <c r="K66" s="74"/>
      <c r="L66" s="74" t="s">
        <v>61</v>
      </c>
      <c r="M66" s="77">
        <f>'Tabel 1.1'!G16</f>
        <v>22086</v>
      </c>
      <c r="N66" s="77">
        <f>'Tabel 1.1'!H16</f>
        <v>16959.64603199068</v>
      </c>
      <c r="O66" s="74"/>
    </row>
    <row r="67" spans="1:15" x14ac:dyDescent="0.3">
      <c r="A67" s="74"/>
      <c r="B67" s="74"/>
      <c r="C67" s="74"/>
      <c r="D67" s="74"/>
      <c r="E67" s="74"/>
      <c r="F67" s="74"/>
      <c r="G67" s="74"/>
      <c r="H67" s="74"/>
      <c r="I67" s="74"/>
      <c r="J67" s="74"/>
      <c r="K67" s="74"/>
      <c r="L67" s="74" t="s">
        <v>62</v>
      </c>
      <c r="M67" s="77">
        <f>'Tabel 1.1'!G17</f>
        <v>0</v>
      </c>
      <c r="N67" s="77">
        <f>'Tabel 1.1'!H17</f>
        <v>0</v>
      </c>
      <c r="O67" s="74"/>
    </row>
    <row r="68" spans="1:15" x14ac:dyDescent="0.3">
      <c r="A68" s="74"/>
      <c r="B68" s="74"/>
      <c r="C68" s="74"/>
      <c r="D68" s="74"/>
      <c r="E68" s="74"/>
      <c r="F68" s="74"/>
      <c r="G68" s="74"/>
      <c r="H68" s="74"/>
      <c r="I68" s="74"/>
      <c r="J68" s="74"/>
      <c r="K68" s="74"/>
      <c r="L68" s="74" t="s">
        <v>63</v>
      </c>
      <c r="M68" s="77">
        <f>'Tabel 1.1'!G18</f>
        <v>465567937.94161999</v>
      </c>
      <c r="N68" s="77">
        <f>'Tabel 1.1'!H18</f>
        <v>491892859.81856</v>
      </c>
      <c r="O68" s="74"/>
    </row>
    <row r="69" spans="1:15" x14ac:dyDescent="0.3">
      <c r="A69" s="74"/>
      <c r="B69" s="74"/>
      <c r="C69" s="74"/>
      <c r="D69" s="74"/>
      <c r="E69" s="74"/>
      <c r="F69" s="74"/>
      <c r="G69" s="74"/>
      <c r="H69" s="74"/>
      <c r="I69" s="74"/>
      <c r="J69" s="74"/>
      <c r="K69" s="74"/>
      <c r="L69" s="74" t="s">
        <v>64</v>
      </c>
      <c r="M69" s="77">
        <f>'Tabel 1.1'!G19</f>
        <v>1675895</v>
      </c>
      <c r="N69" s="77">
        <f>'Tabel 1.1'!H19</f>
        <v>1731438</v>
      </c>
      <c r="O69" s="74"/>
    </row>
    <row r="70" spans="1:15" x14ac:dyDescent="0.3">
      <c r="A70" s="74"/>
      <c r="B70" s="74"/>
      <c r="C70" s="74"/>
      <c r="D70" s="74"/>
      <c r="E70" s="74"/>
      <c r="F70" s="74"/>
      <c r="G70" s="74"/>
      <c r="H70" s="74"/>
      <c r="I70" s="74"/>
      <c r="J70" s="74"/>
      <c r="K70" s="74"/>
      <c r="L70" s="74" t="s">
        <v>65</v>
      </c>
      <c r="M70" s="77">
        <f>'Tabel 1.1'!G20</f>
        <v>14510</v>
      </c>
      <c r="N70" s="77">
        <f>'Tabel 1.1'!H20</f>
        <v>30106</v>
      </c>
      <c r="O70" s="74"/>
    </row>
    <row r="71" spans="1:15" x14ac:dyDescent="0.3">
      <c r="A71" s="74"/>
      <c r="B71" s="74"/>
      <c r="C71" s="74"/>
      <c r="D71" s="74"/>
      <c r="E71" s="74"/>
      <c r="F71" s="74"/>
      <c r="G71" s="74"/>
      <c r="H71" s="74"/>
      <c r="I71" s="74"/>
      <c r="J71" s="74"/>
      <c r="K71" s="74"/>
      <c r="L71" s="74" t="s">
        <v>68</v>
      </c>
      <c r="M71" s="77">
        <f>'Tabel 1.1'!G23</f>
        <v>49965829.999989569</v>
      </c>
      <c r="N71" s="77">
        <f>'Tabel 1.1'!H23</f>
        <v>51019701.999889746</v>
      </c>
      <c r="O71" s="74"/>
    </row>
    <row r="72" spans="1:15" x14ac:dyDescent="0.3">
      <c r="A72" s="74"/>
      <c r="B72" s="74"/>
      <c r="C72" s="74"/>
      <c r="D72" s="74"/>
      <c r="E72" s="74"/>
      <c r="F72" s="74"/>
      <c r="G72" s="74"/>
      <c r="H72" s="74"/>
      <c r="I72" s="74"/>
      <c r="J72" s="74"/>
      <c r="K72" s="74"/>
      <c r="L72" s="74" t="s">
        <v>69</v>
      </c>
      <c r="M72" s="77">
        <f>'Tabel 1.1'!G24</f>
        <v>72102299</v>
      </c>
      <c r="N72" s="77">
        <f>'Tabel 1.1'!H24</f>
        <v>75627238.392739996</v>
      </c>
      <c r="O72" s="74"/>
    </row>
    <row r="73" spans="1:15" x14ac:dyDescent="0.3">
      <c r="A73" s="74"/>
      <c r="B73" s="74"/>
      <c r="C73" s="74"/>
      <c r="D73" s="74"/>
      <c r="E73" s="74"/>
      <c r="F73" s="74"/>
      <c r="G73" s="74"/>
      <c r="H73" s="74"/>
      <c r="I73" s="74"/>
      <c r="J73" s="74"/>
      <c r="K73" s="74"/>
      <c r="L73" s="74" t="s">
        <v>70</v>
      </c>
      <c r="M73" s="77">
        <f>'Tabel 1.1'!G26</f>
        <v>19103233.845959999</v>
      </c>
      <c r="N73" s="77">
        <f>'Tabel 1.1'!H26</f>
        <v>20684132.106460001</v>
      </c>
      <c r="O73" s="74"/>
    </row>
    <row r="74" spans="1:15" x14ac:dyDescent="0.3">
      <c r="A74" s="74"/>
      <c r="B74" s="74"/>
      <c r="C74" s="74"/>
      <c r="D74" s="74"/>
      <c r="E74" s="74"/>
      <c r="F74" s="74"/>
      <c r="G74" s="74"/>
      <c r="H74" s="74"/>
      <c r="I74" s="74"/>
      <c r="J74" s="74"/>
      <c r="K74" s="74"/>
      <c r="L74" s="74" t="s">
        <v>71</v>
      </c>
      <c r="M74" s="77">
        <f>'Tabel 1.1'!G27</f>
        <v>181759928.14200002</v>
      </c>
      <c r="N74" s="77">
        <f>'Tabel 1.1'!H27</f>
        <v>181337324.64900005</v>
      </c>
      <c r="O74" s="74"/>
    </row>
    <row r="75" spans="1:15" x14ac:dyDescent="0.3">
      <c r="A75" s="74"/>
      <c r="B75" s="74"/>
      <c r="C75" s="74"/>
      <c r="D75" s="74"/>
      <c r="E75" s="74"/>
      <c r="F75" s="74"/>
      <c r="G75" s="74"/>
      <c r="H75" s="74"/>
      <c r="I75" s="74"/>
      <c r="J75" s="74"/>
      <c r="K75" s="74"/>
      <c r="O75" s="74"/>
    </row>
    <row r="76" spans="1:15" x14ac:dyDescent="0.3">
      <c r="A76" s="74"/>
      <c r="B76" s="74"/>
      <c r="C76" s="74"/>
      <c r="D76" s="74"/>
      <c r="E76" s="74"/>
      <c r="F76" s="74"/>
      <c r="G76" s="74"/>
      <c r="H76" s="74"/>
      <c r="I76" s="74"/>
      <c r="J76" s="74"/>
      <c r="K76" s="74"/>
      <c r="O76" s="74"/>
    </row>
    <row r="77" spans="1:15" x14ac:dyDescent="0.3">
      <c r="A77" s="74"/>
      <c r="B77" s="74"/>
      <c r="C77" s="74"/>
      <c r="D77" s="74"/>
      <c r="E77" s="74"/>
      <c r="F77" s="74"/>
      <c r="G77" s="74"/>
      <c r="H77" s="74"/>
      <c r="I77" s="74"/>
      <c r="J77" s="74"/>
      <c r="K77" s="74"/>
      <c r="O77" s="74"/>
    </row>
    <row r="78" spans="1:15" x14ac:dyDescent="0.3">
      <c r="A78" s="74"/>
      <c r="B78" s="74"/>
      <c r="C78" s="74"/>
      <c r="D78" s="74"/>
      <c r="E78" s="74"/>
      <c r="F78" s="74"/>
      <c r="G78" s="74"/>
      <c r="H78" s="74"/>
      <c r="I78" s="74"/>
      <c r="J78" s="74"/>
      <c r="K78" s="74"/>
      <c r="O78" s="74"/>
    </row>
    <row r="79" spans="1:15" x14ac:dyDescent="0.3">
      <c r="A79" s="74"/>
      <c r="B79" s="74"/>
      <c r="C79" s="74"/>
      <c r="D79" s="74"/>
      <c r="E79" s="74"/>
      <c r="F79" s="74"/>
      <c r="G79" s="74"/>
      <c r="H79" s="74"/>
      <c r="I79" s="74"/>
      <c r="J79" s="74"/>
      <c r="K79" s="74"/>
      <c r="O79" s="74"/>
    </row>
    <row r="80" spans="1:15" x14ac:dyDescent="0.3">
      <c r="A80" s="75" t="s">
        <v>411</v>
      </c>
      <c r="B80" s="74"/>
      <c r="C80" s="74"/>
      <c r="D80" s="74"/>
      <c r="E80" s="74"/>
      <c r="F80" s="74"/>
      <c r="G80" s="74"/>
      <c r="H80" s="74"/>
      <c r="I80" s="79"/>
      <c r="J80" s="74"/>
      <c r="K80" s="74"/>
      <c r="O80" s="74"/>
    </row>
    <row r="81" spans="1:15" x14ac:dyDescent="0.3">
      <c r="B81" s="74"/>
      <c r="C81" s="74"/>
      <c r="D81" s="74"/>
      <c r="E81" s="74"/>
      <c r="F81" s="74"/>
      <c r="G81" s="74"/>
      <c r="H81" s="74"/>
      <c r="I81" s="74"/>
      <c r="J81" s="74"/>
      <c r="K81" s="74"/>
      <c r="O81" s="74"/>
    </row>
    <row r="82" spans="1:15" x14ac:dyDescent="0.3">
      <c r="A82" s="74"/>
      <c r="B82" s="74"/>
      <c r="C82" s="74"/>
      <c r="D82" s="74"/>
      <c r="E82" s="74"/>
      <c r="F82" s="74"/>
      <c r="G82" s="74"/>
      <c r="H82" s="74"/>
      <c r="I82" s="74"/>
      <c r="J82" s="74"/>
      <c r="K82" s="74"/>
      <c r="L82" s="74" t="s">
        <v>76</v>
      </c>
      <c r="O82" s="74"/>
    </row>
    <row r="83" spans="1:15" x14ac:dyDescent="0.3">
      <c r="A83" s="74"/>
      <c r="B83" s="74"/>
      <c r="C83" s="74"/>
      <c r="D83" s="74"/>
      <c r="E83" s="74"/>
      <c r="F83" s="74"/>
      <c r="G83" s="74"/>
      <c r="H83" s="74"/>
      <c r="I83" s="74"/>
      <c r="J83" s="74"/>
      <c r="K83" s="74"/>
      <c r="L83" s="74" t="s">
        <v>1</v>
      </c>
      <c r="O83" s="74"/>
    </row>
    <row r="84" spans="1:15" x14ac:dyDescent="0.3">
      <c r="A84" s="74"/>
      <c r="B84" s="74"/>
      <c r="C84" s="74"/>
      <c r="D84" s="74"/>
      <c r="E84" s="74"/>
      <c r="F84" s="74"/>
      <c r="G84" s="74"/>
      <c r="H84" s="74"/>
      <c r="I84" s="74"/>
      <c r="J84" s="74"/>
      <c r="K84" s="74"/>
      <c r="M84" s="74">
        <v>2018</v>
      </c>
      <c r="N84" s="74">
        <v>2019</v>
      </c>
      <c r="O84" s="74"/>
    </row>
    <row r="85" spans="1:15" x14ac:dyDescent="0.3">
      <c r="B85" s="74"/>
      <c r="C85" s="74"/>
      <c r="D85" s="74"/>
      <c r="E85" s="74"/>
      <c r="F85" s="74"/>
      <c r="G85" s="74"/>
      <c r="H85" s="74"/>
      <c r="I85" s="74"/>
      <c r="J85" s="74"/>
      <c r="K85" s="74"/>
      <c r="L85" s="74" t="s">
        <v>54</v>
      </c>
      <c r="M85" s="77">
        <f>'Tabel 1.1'!G33</f>
        <v>17266330.386</v>
      </c>
      <c r="N85" s="77">
        <f>'Tabel 1.1'!H33</f>
        <v>19030607.528999999</v>
      </c>
      <c r="O85" s="74"/>
    </row>
    <row r="86" spans="1:15" x14ac:dyDescent="0.3">
      <c r="B86" s="74"/>
      <c r="C86" s="74"/>
      <c r="D86" s="74"/>
      <c r="E86" s="74"/>
      <c r="F86" s="74"/>
      <c r="G86" s="74"/>
      <c r="H86" s="74"/>
      <c r="I86" s="74"/>
      <c r="J86" s="74"/>
      <c r="K86" s="74"/>
      <c r="L86" s="74" t="s">
        <v>55</v>
      </c>
      <c r="M86" s="77">
        <f>'Tabel 1.1'!G34</f>
        <v>78277486.437999994</v>
      </c>
      <c r="N86" s="77">
        <f>'Tabel 1.1'!H34</f>
        <v>89715002.026999995</v>
      </c>
      <c r="O86" s="74"/>
    </row>
    <row r="87" spans="1:15" x14ac:dyDescent="0.3">
      <c r="B87" s="74"/>
      <c r="C87" s="74"/>
      <c r="D87" s="74"/>
      <c r="E87" s="74"/>
      <c r="F87" s="74"/>
      <c r="G87" s="74"/>
      <c r="H87" s="74"/>
      <c r="I87" s="74"/>
      <c r="J87" s="74"/>
      <c r="K87" s="74"/>
      <c r="L87" s="74" t="s">
        <v>57</v>
      </c>
      <c r="M87" s="77">
        <f>'Tabel 1.1'!G35</f>
        <v>3320021</v>
      </c>
      <c r="N87" s="77">
        <f>'Tabel 1.1'!H35</f>
        <v>3826787</v>
      </c>
      <c r="O87" s="74"/>
    </row>
    <row r="88" spans="1:15" x14ac:dyDescent="0.3">
      <c r="B88" s="74"/>
      <c r="C88" s="74"/>
      <c r="D88" s="74"/>
      <c r="E88" s="74"/>
      <c r="F88" s="74"/>
      <c r="G88" s="74"/>
      <c r="H88" s="74"/>
      <c r="I88" s="74"/>
      <c r="J88" s="74"/>
      <c r="K88" s="74"/>
      <c r="L88" s="79" t="s">
        <v>60</v>
      </c>
      <c r="M88" s="77">
        <f>'Tabel 1.1'!G36</f>
        <v>23904710</v>
      </c>
      <c r="N88" s="77">
        <f>'Tabel 1.1'!H36</f>
        <v>27221258.799999997</v>
      </c>
      <c r="O88" s="74"/>
    </row>
    <row r="89" spans="1:15" x14ac:dyDescent="0.3">
      <c r="B89" s="74"/>
      <c r="C89" s="74"/>
      <c r="D89" s="74"/>
      <c r="E89" s="74"/>
      <c r="F89" s="74"/>
      <c r="G89" s="74"/>
      <c r="H89" s="74"/>
      <c r="I89" s="74"/>
      <c r="J89" s="74"/>
      <c r="K89" s="74"/>
      <c r="L89" s="74" t="s">
        <v>63</v>
      </c>
      <c r="M89" s="77">
        <f>'Tabel 1.1'!G37</f>
        <v>2451095.8211500002</v>
      </c>
      <c r="N89" s="77">
        <f>'Tabel 1.1'!H37</f>
        <v>2587219.1831499999</v>
      </c>
      <c r="O89" s="74"/>
    </row>
    <row r="90" spans="1:15" x14ac:dyDescent="0.3">
      <c r="B90" s="74"/>
      <c r="C90" s="74"/>
      <c r="D90" s="74"/>
      <c r="E90" s="74"/>
      <c r="F90" s="74"/>
      <c r="G90" s="74"/>
      <c r="H90" s="74"/>
      <c r="I90" s="74"/>
      <c r="J90" s="74"/>
      <c r="K90" s="74"/>
      <c r="L90" s="74" t="s">
        <v>64</v>
      </c>
      <c r="M90" s="77">
        <f>'Tabel 1.1'!G38</f>
        <v>3075141</v>
      </c>
      <c r="N90" s="77">
        <f>'Tabel 1.1'!H38</f>
        <v>4242225</v>
      </c>
      <c r="O90" s="74"/>
    </row>
    <row r="91" spans="1:15" x14ac:dyDescent="0.3">
      <c r="A91" s="74"/>
      <c r="B91" s="74"/>
      <c r="C91" s="74"/>
      <c r="D91" s="74"/>
      <c r="E91" s="74"/>
      <c r="F91" s="74"/>
      <c r="G91" s="74"/>
      <c r="H91" s="74"/>
      <c r="I91" s="74"/>
      <c r="J91" s="74"/>
      <c r="K91" s="74"/>
      <c r="L91" s="74" t="s">
        <v>68</v>
      </c>
      <c r="M91" s="77">
        <f>'Tabel 1.1'!G39</f>
        <v>60641550</v>
      </c>
      <c r="N91" s="77">
        <f>'Tabel 1.1'!H39</f>
        <v>68352090.000000089</v>
      </c>
      <c r="O91" s="74"/>
    </row>
    <row r="92" spans="1:15" ht="18.75" customHeight="1" x14ac:dyDescent="0.3">
      <c r="A92" s="74"/>
      <c r="B92" s="74"/>
      <c r="C92" s="74"/>
      <c r="D92" s="74"/>
      <c r="E92" s="74"/>
      <c r="F92" s="74"/>
      <c r="G92" s="74"/>
      <c r="H92" s="74"/>
      <c r="I92" s="74"/>
      <c r="J92" s="74"/>
      <c r="K92" s="74"/>
      <c r="L92" s="74" t="s">
        <v>74</v>
      </c>
      <c r="M92" s="77">
        <f>'Tabel 1.1'!G40</f>
        <v>2163599</v>
      </c>
      <c r="N92" s="77">
        <f>'Tabel 1.1'!H40</f>
        <v>2307693.03969</v>
      </c>
      <c r="O92" s="74"/>
    </row>
    <row r="93" spans="1:15" ht="18.75" customHeight="1" x14ac:dyDescent="0.3">
      <c r="A93" s="74"/>
      <c r="B93" s="74"/>
      <c r="C93" s="74"/>
      <c r="D93" s="74"/>
      <c r="E93" s="74"/>
      <c r="F93" s="74"/>
      <c r="G93" s="74"/>
      <c r="H93" s="74"/>
      <c r="I93" s="74"/>
      <c r="J93" s="74"/>
      <c r="K93" s="74"/>
      <c r="L93" s="74" t="s">
        <v>70</v>
      </c>
      <c r="M93" s="77">
        <f>'Tabel 1.1'!G41</f>
        <v>28011120.555509999</v>
      </c>
      <c r="N93" s="77">
        <f>'Tabel 1.1'!H41</f>
        <v>32200221.129759997</v>
      </c>
      <c r="O93" s="74"/>
    </row>
    <row r="94" spans="1:15" ht="18.75" customHeight="1" x14ac:dyDescent="0.3">
      <c r="A94" s="74"/>
      <c r="B94" s="74"/>
      <c r="C94" s="74"/>
      <c r="D94" s="74"/>
      <c r="E94" s="74"/>
      <c r="F94" s="74"/>
      <c r="G94" s="74"/>
      <c r="H94" s="74"/>
      <c r="I94" s="74"/>
      <c r="J94" s="74"/>
      <c r="K94" s="74"/>
      <c r="L94" s="74" t="s">
        <v>75</v>
      </c>
      <c r="M94" s="77">
        <f>'Tabel 1.1'!G42</f>
        <v>93597754.061000004</v>
      </c>
      <c r="N94" s="77">
        <f>'Tabel 1.1'!H42</f>
        <v>103774197.524</v>
      </c>
      <c r="O94" s="74"/>
    </row>
    <row r="95" spans="1:15" ht="18.75" customHeight="1" x14ac:dyDescent="0.3">
      <c r="A95" s="74"/>
      <c r="B95" s="74"/>
      <c r="C95" s="74"/>
      <c r="D95" s="74"/>
      <c r="E95" s="74"/>
      <c r="F95" s="74"/>
      <c r="G95" s="74"/>
      <c r="H95" s="74"/>
      <c r="I95" s="74"/>
      <c r="J95" s="74"/>
      <c r="K95" s="74"/>
      <c r="M95" s="77"/>
      <c r="O95" s="74"/>
    </row>
    <row r="96" spans="1:15" ht="18.75" customHeight="1" x14ac:dyDescent="0.3">
      <c r="A96" s="74"/>
      <c r="B96" s="74"/>
      <c r="C96" s="74"/>
      <c r="D96" s="74"/>
      <c r="E96" s="74"/>
      <c r="F96" s="74"/>
      <c r="G96" s="74"/>
      <c r="H96" s="74"/>
      <c r="I96" s="74"/>
      <c r="J96" s="74"/>
      <c r="K96" s="74"/>
      <c r="O96" s="74"/>
    </row>
    <row r="97" spans="1:17" ht="18.75" customHeight="1" x14ac:dyDescent="0.3">
      <c r="A97" s="74"/>
      <c r="B97" s="74"/>
      <c r="C97" s="74"/>
      <c r="D97" s="74"/>
      <c r="E97" s="74"/>
      <c r="F97" s="74"/>
      <c r="G97" s="74"/>
      <c r="H97" s="74"/>
      <c r="I97" s="74"/>
      <c r="J97" s="74"/>
      <c r="K97" s="74"/>
      <c r="O97" s="74"/>
      <c r="Q97" s="74"/>
    </row>
    <row r="98" spans="1:17" ht="18.75" customHeight="1" x14ac:dyDescent="0.3">
      <c r="A98" s="74"/>
      <c r="B98" s="74"/>
      <c r="C98" s="74"/>
      <c r="D98" s="74"/>
      <c r="E98" s="74"/>
      <c r="F98" s="74"/>
      <c r="G98" s="74"/>
      <c r="H98" s="74"/>
      <c r="I98" s="74"/>
      <c r="J98" s="74"/>
      <c r="K98" s="74"/>
      <c r="O98" s="74"/>
      <c r="Q98" s="74"/>
    </row>
    <row r="99" spans="1:17" ht="18.75" customHeight="1" x14ac:dyDescent="0.3">
      <c r="A99" s="74"/>
      <c r="B99" s="74"/>
      <c r="C99" s="74"/>
      <c r="D99" s="74"/>
      <c r="E99" s="74"/>
      <c r="F99" s="74"/>
      <c r="G99" s="74"/>
      <c r="H99" s="74"/>
      <c r="I99" s="74"/>
      <c r="J99" s="74"/>
      <c r="K99" s="74"/>
      <c r="O99" s="74"/>
      <c r="Q99" s="74"/>
    </row>
    <row r="100" spans="1:17" ht="18.75" customHeight="1" x14ac:dyDescent="0.3">
      <c r="A100" s="74"/>
      <c r="B100" s="74"/>
      <c r="C100" s="74"/>
      <c r="D100" s="74"/>
      <c r="E100" s="74"/>
      <c r="F100" s="74"/>
      <c r="G100" s="74"/>
      <c r="H100" s="74"/>
      <c r="I100" s="74"/>
      <c r="J100" s="74"/>
      <c r="K100" s="74"/>
      <c r="O100" s="74"/>
      <c r="Q100" s="74"/>
    </row>
    <row r="101" spans="1:17" ht="18.75" customHeight="1" x14ac:dyDescent="0.3">
      <c r="A101" s="74"/>
      <c r="B101" s="74"/>
      <c r="C101" s="74"/>
      <c r="D101" s="74"/>
      <c r="E101" s="74"/>
      <c r="F101" s="74"/>
      <c r="G101" s="74"/>
      <c r="H101" s="74"/>
      <c r="I101" s="74"/>
      <c r="J101" s="74"/>
      <c r="K101" s="74"/>
      <c r="O101" s="74"/>
      <c r="Q101" s="74"/>
    </row>
    <row r="102" spans="1:17" ht="18.75" customHeight="1" x14ac:dyDescent="0.3">
      <c r="A102" s="74"/>
      <c r="B102" s="74"/>
      <c r="C102" s="74"/>
      <c r="D102" s="74"/>
      <c r="E102" s="74"/>
      <c r="F102" s="74"/>
      <c r="G102" s="74"/>
      <c r="H102" s="74"/>
      <c r="I102" s="74"/>
      <c r="J102" s="74"/>
      <c r="K102" s="74"/>
      <c r="O102" s="74"/>
      <c r="Q102" s="74"/>
    </row>
    <row r="103" spans="1:17" ht="18.75" customHeight="1" x14ac:dyDescent="0.3">
      <c r="A103" s="74"/>
      <c r="B103" s="74"/>
      <c r="C103" s="74"/>
      <c r="D103" s="74"/>
      <c r="E103" s="74"/>
      <c r="F103" s="74"/>
      <c r="G103" s="74"/>
      <c r="H103" s="74"/>
      <c r="I103" s="74"/>
      <c r="J103" s="74"/>
      <c r="K103" s="74"/>
      <c r="O103" s="74"/>
      <c r="Q103" s="74"/>
    </row>
    <row r="104" spans="1:17" ht="18.75" customHeight="1" x14ac:dyDescent="0.3">
      <c r="A104" s="74"/>
      <c r="B104" s="74"/>
      <c r="C104" s="74"/>
      <c r="D104" s="74"/>
      <c r="E104" s="74"/>
      <c r="F104" s="74"/>
      <c r="G104" s="74"/>
      <c r="H104" s="74"/>
      <c r="I104" s="74"/>
      <c r="J104" s="74"/>
      <c r="K104" s="74"/>
      <c r="O104" s="74"/>
      <c r="Q104" s="74"/>
    </row>
    <row r="105" spans="1:17" ht="18.75" customHeight="1" x14ac:dyDescent="0.3">
      <c r="A105" s="74"/>
      <c r="B105" s="74"/>
      <c r="C105" s="74"/>
      <c r="D105" s="74"/>
      <c r="E105" s="74"/>
      <c r="F105" s="74"/>
      <c r="G105" s="74"/>
      <c r="H105" s="74"/>
      <c r="I105" s="74"/>
      <c r="J105" s="74"/>
      <c r="K105" s="74"/>
      <c r="O105" s="74"/>
      <c r="Q105" s="74"/>
    </row>
    <row r="106" spans="1:17" ht="18.75" customHeight="1" x14ac:dyDescent="0.3">
      <c r="A106" s="75" t="s">
        <v>412</v>
      </c>
      <c r="B106" s="74"/>
      <c r="C106" s="74"/>
      <c r="D106" s="74"/>
      <c r="E106" s="74"/>
      <c r="F106" s="74"/>
      <c r="G106" s="74"/>
      <c r="H106" s="79"/>
      <c r="I106" s="74"/>
      <c r="J106" s="74"/>
      <c r="K106" s="74"/>
      <c r="O106" s="74"/>
      <c r="Q106" s="74"/>
    </row>
    <row r="107" spans="1:17" ht="18.75" customHeight="1" x14ac:dyDescent="0.3">
      <c r="A107" s="74"/>
      <c r="B107" s="74"/>
      <c r="C107" s="74"/>
      <c r="D107" s="74"/>
      <c r="E107" s="74"/>
      <c r="F107" s="74"/>
      <c r="G107" s="74"/>
      <c r="H107" s="74"/>
      <c r="I107" s="74"/>
      <c r="J107" s="74"/>
      <c r="K107" s="74"/>
      <c r="O107" s="74"/>
      <c r="Q107" s="74"/>
    </row>
    <row r="108" spans="1:17" ht="18.75" customHeight="1" x14ac:dyDescent="0.3">
      <c r="A108" s="74"/>
      <c r="B108" s="74"/>
      <c r="C108" s="74"/>
      <c r="D108" s="74"/>
      <c r="E108" s="74"/>
      <c r="F108" s="74"/>
      <c r="G108" s="74"/>
      <c r="H108" s="74"/>
      <c r="I108" s="74"/>
      <c r="J108" s="74"/>
      <c r="K108" s="74"/>
      <c r="L108" s="74" t="s">
        <v>77</v>
      </c>
      <c r="O108" s="74"/>
      <c r="Q108" s="74"/>
    </row>
    <row r="109" spans="1:17" ht="18.75" customHeight="1" x14ac:dyDescent="0.3">
      <c r="A109" s="74"/>
      <c r="B109" s="74"/>
      <c r="C109" s="74"/>
      <c r="D109" s="74"/>
      <c r="E109" s="74"/>
      <c r="F109" s="74"/>
      <c r="G109" s="74"/>
      <c r="H109" s="74"/>
      <c r="I109" s="74"/>
      <c r="J109" s="74"/>
      <c r="K109" s="74"/>
      <c r="L109" s="74" t="s">
        <v>0</v>
      </c>
      <c r="O109" s="74"/>
      <c r="Q109" s="74"/>
    </row>
    <row r="110" spans="1:17" ht="18.75" customHeight="1" x14ac:dyDescent="0.3">
      <c r="A110" s="74"/>
      <c r="B110" s="74"/>
      <c r="C110" s="74"/>
      <c r="D110" s="74"/>
      <c r="E110" s="74"/>
      <c r="F110" s="74"/>
      <c r="G110" s="74"/>
      <c r="H110" s="74"/>
      <c r="I110" s="74"/>
      <c r="J110" s="74"/>
      <c r="K110" s="74"/>
      <c r="M110" s="74">
        <v>2018</v>
      </c>
      <c r="N110" s="74">
        <v>2019</v>
      </c>
      <c r="O110" s="74"/>
      <c r="Q110" s="74"/>
    </row>
    <row r="111" spans="1:17" ht="18.75" customHeight="1" x14ac:dyDescent="0.3">
      <c r="A111" s="74"/>
      <c r="B111" s="74"/>
      <c r="C111" s="74"/>
      <c r="D111" s="74"/>
      <c r="E111" s="74"/>
      <c r="F111" s="74"/>
      <c r="G111" s="74"/>
      <c r="H111" s="74"/>
      <c r="I111" s="74"/>
      <c r="J111" s="74"/>
      <c r="K111" s="74"/>
      <c r="L111" s="74" t="s">
        <v>54</v>
      </c>
      <c r="M111" s="77">
        <f>'Danica Pensjonsforsikring'!B11-'Danica Pensjonsforsikring'!B12+'Danica Pensjonsforsikring'!B34-'Danica Pensjonsforsikring'!B35+'Danica Pensjonsforsikring'!B38-'Danica Pensjonsforsikring'!B39+'Danica Pensjonsforsikring'!B111-'Danica Pensjonsforsikring'!B119+'Danica Pensjonsforsikring'!B136-'Danica Pensjonsforsikring'!B137</f>
        <v>1705.4950000000008</v>
      </c>
      <c r="N111" s="77">
        <f>'Danica Pensjonsforsikring'!C11-'Danica Pensjonsforsikring'!C12+'Danica Pensjonsforsikring'!C34-'Danica Pensjonsforsikring'!C35+'Danica Pensjonsforsikring'!C38-'Danica Pensjonsforsikring'!C39+'Danica Pensjonsforsikring'!C111-'Danica Pensjonsforsikring'!C119+'Danica Pensjonsforsikring'!C136-'Danica Pensjonsforsikring'!C137</f>
        <v>6109.9529999999995</v>
      </c>
      <c r="O111" s="74"/>
      <c r="Q111" s="74"/>
    </row>
    <row r="112" spans="1:17" ht="18.75" customHeight="1" x14ac:dyDescent="0.3">
      <c r="A112" s="74"/>
      <c r="B112" s="74"/>
      <c r="C112" s="74"/>
      <c r="D112" s="74"/>
      <c r="E112" s="74"/>
      <c r="F112" s="74"/>
      <c r="G112" s="74"/>
      <c r="H112" s="74"/>
      <c r="I112" s="74"/>
      <c r="J112" s="74"/>
      <c r="K112" s="74"/>
      <c r="L112" s="74" t="s">
        <v>55</v>
      </c>
      <c r="M112" s="77">
        <f>'DNB Livsforsikring'!B11-'DNB Livsforsikring'!B12+'DNB Livsforsikring'!B34-'DNB Livsforsikring'!B35+'DNB Livsforsikring'!B38-'DNB Livsforsikring'!B39+'DNB Livsforsikring'!B111-'DNB Livsforsikring'!B119+'DNB Livsforsikring'!B136-'DNB Livsforsikring'!B137</f>
        <v>63897</v>
      </c>
      <c r="N112" s="77">
        <f>'DNB Livsforsikring'!C11-'DNB Livsforsikring'!C12+'DNB Livsforsikring'!C34-'DNB Livsforsikring'!C35+'DNB Livsforsikring'!C38-'DNB Livsforsikring'!C39+'DNB Livsforsikring'!C111-'DNB Livsforsikring'!C119+'DNB Livsforsikring'!C136-'DNB Livsforsikring'!C137</f>
        <v>104640</v>
      </c>
      <c r="O112" s="74"/>
      <c r="Q112" s="74"/>
    </row>
    <row r="113" spans="1:17" ht="18.75" customHeight="1" x14ac:dyDescent="0.3">
      <c r="A113" s="74"/>
      <c r="B113" s="74"/>
      <c r="C113" s="74"/>
      <c r="D113" s="74"/>
      <c r="E113" s="74"/>
      <c r="F113" s="74"/>
      <c r="G113" s="74"/>
      <c r="H113" s="74"/>
      <c r="I113" s="74"/>
      <c r="J113" s="74"/>
      <c r="K113" s="74"/>
      <c r="L113" s="79" t="s">
        <v>60</v>
      </c>
      <c r="M113" s="77">
        <f>'Gjensidige Pensjon'!B11-'Gjensidige Pensjon'!B12+'Gjensidige Pensjon'!B34-'Gjensidige Pensjon'!B35+'Gjensidige Pensjon'!B38-'Gjensidige Pensjon'!B39+'Gjensidige Pensjon'!B111-'Gjensidige Pensjon'!B119+'Gjensidige Pensjon'!B136-'Gjensidige Pensjon'!B137</f>
        <v>25183</v>
      </c>
      <c r="N113" s="77">
        <f>'Gjensidige Pensjon'!C11-'Gjensidige Pensjon'!C12+'Gjensidige Pensjon'!C34-'Gjensidige Pensjon'!C35+'Gjensidige Pensjon'!C38-'Gjensidige Pensjon'!C39+'Gjensidige Pensjon'!C111-'Gjensidige Pensjon'!C119+'Gjensidige Pensjon'!C136-'Gjensidige Pensjon'!C137</f>
        <v>29298.6</v>
      </c>
      <c r="O113" s="74"/>
      <c r="Q113" s="74"/>
    </row>
    <row r="114" spans="1:17" ht="18.75" customHeight="1" x14ac:dyDescent="0.3">
      <c r="A114" s="74"/>
      <c r="B114" s="74"/>
      <c r="C114" s="74"/>
      <c r="D114" s="74"/>
      <c r="E114" s="74"/>
      <c r="F114" s="74"/>
      <c r="G114" s="74"/>
      <c r="H114" s="74"/>
      <c r="I114" s="74"/>
      <c r="J114" s="74"/>
      <c r="K114" s="74"/>
      <c r="L114" s="79" t="s">
        <v>63</v>
      </c>
      <c r="M114" s="77">
        <f>KLP!B11-KLP!B12+KLP!B34-KLP!B35+KLP!B38-KLP!B39+KLP!B111-KLP!B119+KLP!B136-KLP!B137</f>
        <v>-491437.522</v>
      </c>
      <c r="N114" s="77">
        <f>KLP!C11-KLP!C12+KLP!C34-KLP!C35+KLP!C38-KLP!C39+KLP!C111-KLP!C119+KLP!C136-KLP!C137</f>
        <v>-248064.62399999998</v>
      </c>
      <c r="O114" s="74"/>
      <c r="Q114" s="74"/>
    </row>
    <row r="115" spans="1:17" ht="18.75" customHeight="1" x14ac:dyDescent="0.3">
      <c r="A115" s="74"/>
      <c r="B115" s="74"/>
      <c r="C115" s="74"/>
      <c r="D115" s="74"/>
      <c r="E115" s="74"/>
      <c r="F115" s="74"/>
      <c r="G115" s="74"/>
      <c r="H115" s="74"/>
      <c r="I115" s="74"/>
      <c r="J115" s="74"/>
      <c r="K115" s="74"/>
      <c r="L115" s="79" t="s">
        <v>64</v>
      </c>
      <c r="M115" s="77">
        <f>'KLP Bedriftspensjon AS'!B11-'KLP Bedriftspensjon AS'!B12+'KLP Bedriftspensjon AS'!B34-'KLP Bedriftspensjon AS'!B35+'KLP Bedriftspensjon AS'!B38-'KLP Bedriftspensjon AS'!B39+'KLP Bedriftspensjon AS'!B111-'KLP Bedriftspensjon AS'!B119+'KLP Bedriftspensjon AS'!B136-'KLP Bedriftspensjon AS'!B137</f>
        <v>491</v>
      </c>
      <c r="N115" s="77">
        <f>'KLP Bedriftspensjon AS'!C11-'KLP Bedriftspensjon AS'!C12+'KLP Bedriftspensjon AS'!C34-'KLP Bedriftspensjon AS'!C35+'KLP Bedriftspensjon AS'!C38-'KLP Bedriftspensjon AS'!C39+'KLP Bedriftspensjon AS'!C111-'KLP Bedriftspensjon AS'!C119+'KLP Bedriftspensjon AS'!C136-'KLP Bedriftspensjon AS'!C137</f>
        <v>878</v>
      </c>
      <c r="O115" s="74"/>
      <c r="Q115" s="74"/>
    </row>
    <row r="116" spans="1:17" ht="18.75" customHeight="1" x14ac:dyDescent="0.3">
      <c r="A116" s="74"/>
      <c r="B116" s="74"/>
      <c r="C116" s="74"/>
      <c r="D116" s="74"/>
      <c r="E116" s="74"/>
      <c r="F116" s="74"/>
      <c r="G116" s="74"/>
      <c r="H116" s="74"/>
      <c r="I116" s="74"/>
      <c r="J116" s="74"/>
      <c r="K116" s="74"/>
      <c r="L116" s="74" t="s">
        <v>68</v>
      </c>
      <c r="M116" s="77">
        <f>'Nordea Liv '!B11-'Nordea Liv '!B12+'Nordea Liv '!B34-'Nordea Liv '!B35+'Nordea Liv '!B38-'Nordea Liv '!B39+'Nordea Liv '!B111-'Nordea Liv '!B119+'Nordea Liv '!B136-'Nordea Liv '!B137</f>
        <v>-97885.510340000008</v>
      </c>
      <c r="N116" s="77">
        <f>'Nordea Liv '!C11-'Nordea Liv '!C12+'Nordea Liv '!C34-'Nordea Liv '!C35+'Nordea Liv '!C38-'Nordea Liv '!C39+'Nordea Liv '!C111-'Nordea Liv '!C119+'Nordea Liv '!C136-'Nordea Liv '!C137</f>
        <v>-14915.333700000001</v>
      </c>
      <c r="O116" s="74"/>
      <c r="Q116" s="74"/>
    </row>
    <row r="117" spans="1:17" ht="18.75" customHeight="1" x14ac:dyDescent="0.3">
      <c r="A117" s="74"/>
      <c r="B117" s="74"/>
      <c r="C117" s="74"/>
      <c r="D117" s="74"/>
      <c r="E117" s="74"/>
      <c r="F117" s="74"/>
      <c r="G117" s="74"/>
      <c r="H117" s="74"/>
      <c r="I117" s="74"/>
      <c r="J117" s="74"/>
      <c r="K117" s="74"/>
      <c r="L117" s="74" t="s">
        <v>70</v>
      </c>
      <c r="M117" s="77">
        <f>'Sparebank 1'!B11-'Sparebank 1'!B12+'Sparebank 1'!B34-'Sparebank 1'!B35+'Sparebank 1'!B38-'Sparebank 1'!B39+'Sparebank 1'!B111-'Sparebank 1'!B119+'Sparebank 1'!B136-'Sparebank 1'!B137</f>
        <v>-24690.168249999999</v>
      </c>
      <c r="N117" s="77">
        <f>'Sparebank 1'!C11-'Sparebank 1'!C12+'Sparebank 1'!C34-'Sparebank 1'!C35+'Sparebank 1'!C38-'Sparebank 1'!C39+'Sparebank 1'!C111-'Sparebank 1'!C119+'Sparebank 1'!C136-'Sparebank 1'!C137</f>
        <v>-13521.344899999996</v>
      </c>
      <c r="O117" s="74"/>
    </row>
    <row r="118" spans="1:17" ht="18.75" customHeight="1" x14ac:dyDescent="0.3">
      <c r="A118" s="74"/>
      <c r="B118" s="74"/>
      <c r="C118" s="74"/>
      <c r="D118" s="74"/>
      <c r="E118" s="74"/>
      <c r="F118" s="74"/>
      <c r="G118" s="74"/>
      <c r="H118" s="74"/>
      <c r="I118" s="74"/>
      <c r="J118" s="74"/>
      <c r="K118" s="74"/>
      <c r="L118" s="74" t="s">
        <v>71</v>
      </c>
      <c r="M118" s="77">
        <f>'Storebrand Livsforsikring'!B11-'Storebrand Livsforsikring'!B12+'Storebrand Livsforsikring'!B34-'Storebrand Livsforsikring'!B35+'Storebrand Livsforsikring'!B38-'Storebrand Livsforsikring'!B39+'Storebrand Livsforsikring'!B111-'Storebrand Livsforsikring'!B119+'Storebrand Livsforsikring'!B136-'Storebrand Livsforsikring'!B137</f>
        <v>-44260.928000000007</v>
      </c>
      <c r="N118" s="77">
        <f>'Storebrand Livsforsikring'!C11-'Storebrand Livsforsikring'!C12+'Storebrand Livsforsikring'!C34-'Storebrand Livsforsikring'!C35+'Storebrand Livsforsikring'!C38-'Storebrand Livsforsikring'!C39+'Storebrand Livsforsikring'!C111-'Storebrand Livsforsikring'!C119+'Storebrand Livsforsikring'!C136-'Storebrand Livsforsikring'!C137</f>
        <v>-83232.047999999981</v>
      </c>
      <c r="O118" s="74"/>
    </row>
    <row r="119" spans="1:17" ht="18.75" customHeight="1" x14ac:dyDescent="0.3">
      <c r="A119" s="74"/>
      <c r="B119" s="74"/>
      <c r="C119" s="74"/>
      <c r="D119" s="74"/>
      <c r="E119" s="74"/>
      <c r="F119" s="74"/>
      <c r="G119" s="74"/>
      <c r="H119" s="74"/>
      <c r="I119" s="74"/>
      <c r="J119" s="74"/>
      <c r="K119" s="74"/>
      <c r="M119" s="77"/>
      <c r="N119" s="77"/>
      <c r="O119" s="74"/>
    </row>
    <row r="120" spans="1:17" ht="18.75" customHeight="1" x14ac:dyDescent="0.3">
      <c r="A120" s="74"/>
      <c r="B120" s="74"/>
      <c r="C120" s="74"/>
      <c r="D120" s="74"/>
      <c r="E120" s="74"/>
      <c r="F120" s="74"/>
      <c r="G120" s="74"/>
      <c r="H120" s="74"/>
      <c r="I120" s="74"/>
      <c r="J120" s="74"/>
      <c r="K120" s="74"/>
      <c r="M120" s="77"/>
      <c r="N120" s="77"/>
      <c r="O120" s="74"/>
    </row>
    <row r="121" spans="1:17" ht="18.75" customHeight="1" x14ac:dyDescent="0.3">
      <c r="A121" s="74"/>
      <c r="B121" s="74"/>
      <c r="C121" s="74"/>
      <c r="D121" s="74"/>
      <c r="E121" s="74"/>
      <c r="F121" s="74"/>
      <c r="G121" s="74"/>
      <c r="H121" s="74"/>
      <c r="I121" s="74"/>
      <c r="J121" s="74"/>
      <c r="K121" s="74"/>
      <c r="M121" s="77"/>
      <c r="N121" s="77"/>
      <c r="O121" s="74"/>
    </row>
    <row r="122" spans="1:17" ht="18.75" customHeight="1" x14ac:dyDescent="0.3">
      <c r="A122" s="74"/>
      <c r="B122" s="74"/>
      <c r="C122" s="74"/>
      <c r="D122" s="74"/>
      <c r="E122" s="74"/>
      <c r="F122" s="74"/>
      <c r="G122" s="74"/>
      <c r="H122" s="74"/>
      <c r="I122" s="74"/>
      <c r="J122" s="74"/>
      <c r="K122" s="74"/>
      <c r="M122" s="77"/>
      <c r="N122" s="77"/>
      <c r="O122" s="74"/>
    </row>
    <row r="123" spans="1:17" x14ac:dyDescent="0.3">
      <c r="A123" s="74"/>
      <c r="B123" s="74"/>
      <c r="C123" s="74"/>
      <c r="D123" s="74"/>
      <c r="E123" s="74"/>
      <c r="F123" s="74"/>
      <c r="G123" s="74"/>
      <c r="H123" s="74"/>
      <c r="I123" s="74"/>
      <c r="J123" s="74"/>
      <c r="K123" s="74"/>
      <c r="M123" s="77"/>
      <c r="N123" s="77"/>
      <c r="O123" s="74"/>
    </row>
    <row r="124" spans="1:17" x14ac:dyDescent="0.3">
      <c r="A124" s="74"/>
      <c r="B124" s="74"/>
      <c r="C124" s="74"/>
      <c r="D124" s="74"/>
      <c r="E124" s="74"/>
      <c r="F124" s="74"/>
      <c r="G124" s="74"/>
      <c r="H124" s="74"/>
      <c r="I124" s="74"/>
      <c r="J124" s="74"/>
      <c r="K124" s="74"/>
      <c r="M124" s="77"/>
      <c r="N124" s="77"/>
      <c r="O124" s="74"/>
    </row>
    <row r="125" spans="1:17" x14ac:dyDescent="0.3">
      <c r="A125" s="74"/>
      <c r="B125" s="74"/>
      <c r="C125" s="74"/>
      <c r="D125" s="74"/>
      <c r="E125" s="74"/>
      <c r="F125" s="74"/>
      <c r="G125" s="74"/>
      <c r="H125" s="74"/>
      <c r="I125" s="74"/>
      <c r="J125" s="74"/>
      <c r="K125" s="74"/>
      <c r="M125" s="77"/>
      <c r="N125" s="77"/>
      <c r="O125" s="74"/>
    </row>
    <row r="126" spans="1:17" x14ac:dyDescent="0.3">
      <c r="A126" s="74"/>
      <c r="B126" s="74"/>
      <c r="C126" s="74"/>
      <c r="D126" s="74"/>
      <c r="E126" s="74"/>
      <c r="F126" s="74"/>
      <c r="G126" s="74"/>
      <c r="H126" s="74"/>
      <c r="I126" s="74"/>
      <c r="J126" s="74"/>
      <c r="K126" s="74"/>
      <c r="M126" s="77"/>
      <c r="N126" s="77"/>
      <c r="O126" s="74"/>
    </row>
    <row r="127" spans="1:17" x14ac:dyDescent="0.3">
      <c r="A127" s="74"/>
      <c r="B127" s="74"/>
      <c r="C127" s="74"/>
      <c r="D127" s="74"/>
      <c r="E127" s="74"/>
      <c r="F127" s="74"/>
      <c r="G127" s="74"/>
      <c r="H127" s="74"/>
      <c r="I127" s="74"/>
      <c r="J127" s="74"/>
      <c r="K127" s="74"/>
      <c r="O127" s="74"/>
    </row>
    <row r="128" spans="1:17" x14ac:dyDescent="0.3">
      <c r="A128" s="74"/>
      <c r="B128" s="74"/>
      <c r="C128" s="74"/>
      <c r="D128" s="74"/>
      <c r="E128" s="74"/>
      <c r="F128" s="74"/>
      <c r="G128" s="74"/>
      <c r="H128" s="74"/>
      <c r="I128" s="74"/>
      <c r="J128" s="74"/>
      <c r="K128" s="74"/>
      <c r="O128" s="74"/>
    </row>
    <row r="129" spans="1:15" x14ac:dyDescent="0.3">
      <c r="A129" s="74"/>
      <c r="B129" s="74"/>
      <c r="C129" s="74"/>
      <c r="D129" s="74"/>
      <c r="E129" s="74"/>
      <c r="F129" s="74"/>
      <c r="G129" s="74"/>
      <c r="H129" s="74"/>
      <c r="I129" s="74"/>
      <c r="J129" s="74"/>
      <c r="K129" s="74"/>
      <c r="O129" s="74"/>
    </row>
    <row r="130" spans="1:15" x14ac:dyDescent="0.3">
      <c r="A130" s="75" t="s">
        <v>413</v>
      </c>
      <c r="B130" s="74"/>
      <c r="C130" s="74"/>
      <c r="D130" s="74"/>
      <c r="E130" s="74"/>
      <c r="F130" s="74"/>
      <c r="G130" s="74"/>
      <c r="H130" s="79"/>
      <c r="I130" s="74"/>
      <c r="J130" s="74"/>
      <c r="K130" s="74"/>
      <c r="O130" s="74"/>
    </row>
    <row r="131" spans="1:15" x14ac:dyDescent="0.3">
      <c r="B131" s="74"/>
      <c r="C131" s="74"/>
      <c r="D131" s="74"/>
      <c r="E131" s="74"/>
      <c r="F131" s="74"/>
      <c r="G131" s="74"/>
      <c r="H131" s="74"/>
      <c r="I131" s="74"/>
      <c r="J131" s="74"/>
      <c r="K131" s="74"/>
      <c r="O131" s="74"/>
    </row>
    <row r="132" spans="1:15" x14ac:dyDescent="0.3">
      <c r="A132" s="74"/>
      <c r="B132" s="74"/>
      <c r="C132" s="74"/>
      <c r="D132" s="74"/>
      <c r="E132" s="74"/>
      <c r="F132" s="74"/>
      <c r="G132" s="74"/>
      <c r="H132" s="74"/>
      <c r="I132" s="74"/>
      <c r="J132" s="74"/>
      <c r="K132" s="74"/>
      <c r="O132" s="74"/>
    </row>
    <row r="133" spans="1:15" x14ac:dyDescent="0.3">
      <c r="A133" s="74"/>
      <c r="B133" s="74"/>
      <c r="C133" s="74"/>
      <c r="D133" s="74"/>
      <c r="E133" s="74"/>
      <c r="F133" s="74"/>
      <c r="G133" s="74"/>
      <c r="H133" s="74"/>
      <c r="I133" s="74"/>
      <c r="J133" s="74"/>
      <c r="K133" s="74"/>
      <c r="L133" s="74" t="s">
        <v>78</v>
      </c>
      <c r="O133" s="74"/>
    </row>
    <row r="134" spans="1:15" x14ac:dyDescent="0.3">
      <c r="A134" s="74"/>
      <c r="B134" s="74"/>
      <c r="C134" s="74"/>
      <c r="D134" s="74"/>
      <c r="E134" s="74"/>
      <c r="F134" s="74"/>
      <c r="G134" s="74"/>
      <c r="H134" s="74"/>
      <c r="I134" s="74"/>
      <c r="J134" s="74"/>
      <c r="K134" s="74"/>
      <c r="L134" s="74" t="s">
        <v>1</v>
      </c>
      <c r="O134" s="74"/>
    </row>
    <row r="135" spans="1:15" x14ac:dyDescent="0.3">
      <c r="A135" s="74"/>
      <c r="B135" s="74"/>
      <c r="C135" s="74"/>
      <c r="D135" s="74"/>
      <c r="E135" s="74"/>
      <c r="F135" s="74"/>
      <c r="G135" s="74"/>
      <c r="H135" s="74"/>
      <c r="I135" s="74"/>
      <c r="J135" s="74"/>
      <c r="K135" s="74"/>
      <c r="M135" s="74">
        <v>2018</v>
      </c>
      <c r="N135" s="74">
        <v>2019</v>
      </c>
      <c r="O135" s="74"/>
    </row>
    <row r="136" spans="1:15" x14ac:dyDescent="0.3">
      <c r="A136" s="74"/>
      <c r="B136" s="74"/>
      <c r="C136" s="74"/>
      <c r="D136" s="74"/>
      <c r="E136" s="74"/>
      <c r="F136" s="74"/>
      <c r="G136" s="74"/>
      <c r="H136" s="74"/>
      <c r="I136" s="74"/>
      <c r="J136" s="74"/>
      <c r="K136" s="74"/>
      <c r="L136" s="74" t="s">
        <v>54</v>
      </c>
      <c r="M136" s="77">
        <f>'Danica Pensjonsforsikring'!F11-'Danica Pensjonsforsikring'!F12+'Danica Pensjonsforsikring'!F34-'Danica Pensjonsforsikring'!F35+'Danica Pensjonsforsikring'!F38-'Danica Pensjonsforsikring'!F39+'Danica Pensjonsforsikring'!F111-'Danica Pensjonsforsikring'!F119+'Danica Pensjonsforsikring'!F136-'Danica Pensjonsforsikring'!F137</f>
        <v>-129055.09700000001</v>
      </c>
      <c r="N136" s="77">
        <f>'Danica Pensjonsforsikring'!G11-'Danica Pensjonsforsikring'!G12+'Danica Pensjonsforsikring'!G34-'Danica Pensjonsforsikring'!G35+'Danica Pensjonsforsikring'!G38-'Danica Pensjonsforsikring'!G39+'Danica Pensjonsforsikring'!G111-'Danica Pensjonsforsikring'!G119+'Danica Pensjonsforsikring'!G136-'Danica Pensjonsforsikring'!G137</f>
        <v>247084.22200000001</v>
      </c>
      <c r="O136" s="74"/>
    </row>
    <row r="137" spans="1:15" x14ac:dyDescent="0.3">
      <c r="A137" s="74"/>
      <c r="B137" s="74"/>
      <c r="C137" s="74"/>
      <c r="D137" s="74"/>
      <c r="E137" s="74"/>
      <c r="F137" s="74"/>
      <c r="G137" s="74"/>
      <c r="H137" s="74"/>
      <c r="I137" s="74"/>
      <c r="J137" s="74"/>
      <c r="K137" s="74"/>
      <c r="L137" s="74" t="s">
        <v>55</v>
      </c>
      <c r="M137" s="77">
        <f>'DNB Livsforsikring'!F11-'DNB Livsforsikring'!F12+'DNB Livsforsikring'!F34-'DNB Livsforsikring'!F35+'DNB Livsforsikring'!F38-'DNB Livsforsikring'!F39+'DNB Livsforsikring'!F111-'DNB Livsforsikring'!F119+'DNB Livsforsikring'!F136-'DNB Livsforsikring'!F137</f>
        <v>-867214</v>
      </c>
      <c r="N137" s="77">
        <f>'DNB Livsforsikring'!G11-'DNB Livsforsikring'!G12+'DNB Livsforsikring'!G34-'DNB Livsforsikring'!G35+'DNB Livsforsikring'!G38-'DNB Livsforsikring'!G39+'DNB Livsforsikring'!G111-'DNB Livsforsikring'!G119+'DNB Livsforsikring'!G136-'DNB Livsforsikring'!G137</f>
        <v>410023</v>
      </c>
      <c r="O137" s="74"/>
    </row>
    <row r="138" spans="1:15" x14ac:dyDescent="0.3">
      <c r="A138" s="74"/>
      <c r="B138" s="74"/>
      <c r="C138" s="74"/>
      <c r="D138" s="74"/>
      <c r="E138" s="74"/>
      <c r="F138" s="74"/>
      <c r="G138" s="74"/>
      <c r="H138" s="74"/>
      <c r="I138" s="74"/>
      <c r="J138" s="74"/>
      <c r="K138" s="74"/>
      <c r="L138" s="74" t="s">
        <v>57</v>
      </c>
      <c r="M138" s="77">
        <f>'Frende Livsforsikring'!F11-'Frende Livsforsikring'!F12+'Frende Livsforsikring'!F34-'Frende Livsforsikring'!F35+'Frende Livsforsikring'!F38-'Frende Livsforsikring'!F39+'Frende Livsforsikring'!F111-'Frende Livsforsikring'!F119+'Frende Livsforsikring'!F136-'Frende Livsforsikring'!F137</f>
        <v>-58437.728999999999</v>
      </c>
      <c r="N138" s="77">
        <f>'Frende Livsforsikring'!G11-'Frende Livsforsikring'!G12+'Frende Livsforsikring'!G34-'Frende Livsforsikring'!G35+'Frende Livsforsikring'!G38-'Frende Livsforsikring'!G39+'Frende Livsforsikring'!G111-'Frende Livsforsikring'!G119+'Frende Livsforsikring'!G136-'Frende Livsforsikring'!G137</f>
        <v>45724</v>
      </c>
      <c r="O138" s="74"/>
    </row>
    <row r="139" spans="1:15" x14ac:dyDescent="0.3">
      <c r="A139" s="74"/>
      <c r="B139" s="74"/>
      <c r="C139" s="74"/>
      <c r="D139" s="74"/>
      <c r="E139" s="74"/>
      <c r="F139" s="74"/>
      <c r="G139" s="74"/>
      <c r="H139" s="74"/>
      <c r="I139" s="74"/>
      <c r="J139" s="74"/>
      <c r="K139" s="74"/>
      <c r="L139" s="79" t="s">
        <v>60</v>
      </c>
      <c r="M139" s="77">
        <f>'Gjensidige Pensjon'!F11-'Gjensidige Pensjon'!F12+'Gjensidige Pensjon'!F34-'Gjensidige Pensjon'!F35+'Gjensidige Pensjon'!F38-'Gjensidige Pensjon'!F39+'Gjensidige Pensjon'!F111-'Gjensidige Pensjon'!F119+'Gjensidige Pensjon'!F136-'Gjensidige Pensjon'!F137</f>
        <v>101669</v>
      </c>
      <c r="N139" s="77">
        <f>'Gjensidige Pensjon'!G11-'Gjensidige Pensjon'!G12+'Gjensidige Pensjon'!G34-'Gjensidige Pensjon'!G35+'Gjensidige Pensjon'!G38-'Gjensidige Pensjon'!G39+'Gjensidige Pensjon'!G111-'Gjensidige Pensjon'!G119+'Gjensidige Pensjon'!G136-'Gjensidige Pensjon'!G137</f>
        <v>-401668.09999999986</v>
      </c>
      <c r="O139" s="74"/>
    </row>
    <row r="140" spans="1:15" x14ac:dyDescent="0.3">
      <c r="A140" s="74"/>
      <c r="B140" s="74"/>
      <c r="C140" s="74"/>
      <c r="D140" s="74"/>
      <c r="E140" s="74"/>
      <c r="F140" s="74"/>
      <c r="G140" s="74"/>
      <c r="H140" s="74"/>
      <c r="I140" s="74"/>
      <c r="J140" s="74"/>
      <c r="K140" s="74"/>
      <c r="L140" s="74" t="s">
        <v>64</v>
      </c>
      <c r="M140" s="77">
        <f>'KLP Bedriftspensjon AS'!F11-'KLP Bedriftspensjon AS'!F12+'KLP Bedriftspensjon AS'!F34-'KLP Bedriftspensjon AS'!F35+'KLP Bedriftspensjon AS'!F38-'KLP Bedriftspensjon AS'!F39+'KLP Bedriftspensjon AS'!F111-'KLP Bedriftspensjon AS'!F119+'KLP Bedriftspensjon AS'!F136-'KLP Bedriftspensjon AS'!F137</f>
        <v>160568</v>
      </c>
      <c r="N140" s="77">
        <f>'KLP Bedriftspensjon AS'!G11-'KLP Bedriftspensjon AS'!G12+'KLP Bedriftspensjon AS'!G34-'KLP Bedriftspensjon AS'!G35+'KLP Bedriftspensjon AS'!G38-'KLP Bedriftspensjon AS'!G39+'KLP Bedriftspensjon AS'!G111-'KLP Bedriftspensjon AS'!G119+'KLP Bedriftspensjon AS'!G136-'KLP Bedriftspensjon AS'!G137</f>
        <v>263995</v>
      </c>
      <c r="O140" s="74"/>
    </row>
    <row r="141" spans="1:15" x14ac:dyDescent="0.3">
      <c r="A141" s="74"/>
      <c r="B141" s="74"/>
      <c r="C141" s="74"/>
      <c r="D141" s="74"/>
      <c r="E141" s="74"/>
      <c r="F141" s="74"/>
      <c r="G141" s="74"/>
      <c r="H141" s="74"/>
      <c r="I141" s="74"/>
      <c r="J141" s="74"/>
      <c r="K141" s="74"/>
      <c r="L141" s="74" t="s">
        <v>68</v>
      </c>
      <c r="M141" s="77">
        <f>'Nordea Liv '!F11-'Nordea Liv '!F12+'Nordea Liv '!F34-'Nordea Liv '!F35+'Nordea Liv '!F38-'Nordea Liv '!F39+'Nordea Liv '!F111-'Nordea Liv '!F119+'Nordea Liv '!F136-'Nordea Liv '!F137</f>
        <v>-410143.85060000001</v>
      </c>
      <c r="N141" s="77">
        <f>'Nordea Liv '!G11-'Nordea Liv '!G12+'Nordea Liv '!G34-'Nordea Liv '!G35+'Nordea Liv '!G38-'Nordea Liv '!G39+'Nordea Liv '!G111-'Nordea Liv '!G119+'Nordea Liv '!G136-'Nordea Liv '!G137</f>
        <v>400449.70821000007</v>
      </c>
      <c r="O141" s="74"/>
    </row>
    <row r="142" spans="1:15" x14ac:dyDescent="0.3">
      <c r="A142" s="74"/>
      <c r="B142" s="74"/>
      <c r="C142" s="74"/>
      <c r="D142" s="74"/>
      <c r="E142" s="74"/>
      <c r="F142" s="74"/>
      <c r="G142" s="74"/>
      <c r="H142" s="74"/>
      <c r="I142" s="74"/>
      <c r="J142" s="74"/>
      <c r="K142" s="74"/>
      <c r="L142" s="74" t="s">
        <v>74</v>
      </c>
      <c r="M142" s="77">
        <f>'SHB Liv'!F11-'SHB Liv'!F12+'SHB Liv'!F34-'SHB Liv'!F35+'SHB Liv'!F38-'SHB Liv'!F39+'SHB Liv'!F111-'SHB Liv'!F119+'SHB Liv'!F136-'SHB Liv'!F137</f>
        <v>100114</v>
      </c>
      <c r="N142" s="77">
        <f>'SHB Liv'!G11-'SHB Liv'!G12+'SHB Liv'!G34-'SHB Liv'!G35+'SHB Liv'!G38-'SHB Liv'!G39+'SHB Liv'!G111-'SHB Liv'!G119+'SHB Liv'!G136-'SHB Liv'!G137</f>
        <v>47887.002579999993</v>
      </c>
      <c r="O142" s="74"/>
    </row>
    <row r="143" spans="1:15" x14ac:dyDescent="0.3">
      <c r="A143" s="74"/>
      <c r="B143" s="74"/>
      <c r="C143" s="74"/>
      <c r="D143" s="74"/>
      <c r="E143" s="74"/>
      <c r="F143" s="74"/>
      <c r="G143" s="74"/>
      <c r="H143" s="74"/>
      <c r="I143" s="74"/>
      <c r="J143" s="74"/>
      <c r="K143" s="74"/>
      <c r="L143" s="74" t="s">
        <v>70</v>
      </c>
      <c r="M143" s="77">
        <f>'Sparebank 1'!F11-'Sparebank 1'!F12+'Sparebank 1'!F34-'Sparebank 1'!F35+'Sparebank 1'!F38-'Sparebank 1'!F39+'Sparebank 1'!F111-'Sparebank 1'!F119+'Sparebank 1'!F136-'Sparebank 1'!F137</f>
        <v>1294387.70279</v>
      </c>
      <c r="N143" s="77">
        <f>'Sparebank 1'!G11-'Sparebank 1'!G12+'Sparebank 1'!G34-'Sparebank 1'!G35+'Sparebank 1'!G38-'Sparebank 1'!G39+'Sparebank 1'!G111-'Sparebank 1'!G119+'Sparebank 1'!G136-'Sparebank 1'!G137</f>
        <v>273876.59715999989</v>
      </c>
      <c r="O143" s="74"/>
    </row>
    <row r="144" spans="1:15" x14ac:dyDescent="0.3">
      <c r="A144" s="74"/>
      <c r="B144" s="74"/>
      <c r="C144" s="74"/>
      <c r="D144" s="74"/>
      <c r="E144" s="74"/>
      <c r="F144" s="74"/>
      <c r="G144" s="74"/>
      <c r="H144" s="74"/>
      <c r="I144" s="74"/>
      <c r="J144" s="74"/>
      <c r="K144" s="74"/>
      <c r="L144" s="74" t="s">
        <v>75</v>
      </c>
      <c r="M144" s="77">
        <f>'Storebrand Livsforsikring'!F11-'Storebrand Livsforsikring'!F12+'Storebrand Livsforsikring'!F34-'Storebrand Livsforsikring'!F35+'Storebrand Livsforsikring'!F38-'Storebrand Livsforsikring'!F39+'Storebrand Livsforsikring'!F111-'Storebrand Livsforsikring'!F119+'Storebrand Livsforsikring'!F136-'Storebrand Livsforsikring'!F137</f>
        <v>-744724.32599999988</v>
      </c>
      <c r="N144" s="77">
        <f>'Storebrand Livsforsikring'!G11-'Storebrand Livsforsikring'!G12+'Storebrand Livsforsikring'!G34-'Storebrand Livsforsikring'!G35+'Storebrand Livsforsikring'!G38-'Storebrand Livsforsikring'!G39+'Storebrand Livsforsikring'!G111-'Storebrand Livsforsikring'!G119+'Storebrand Livsforsikring'!G136-'Storebrand Livsforsikring'!G137</f>
        <v>-1195960.9420000003</v>
      </c>
      <c r="O144" s="74"/>
    </row>
    <row r="145" spans="1:15" x14ac:dyDescent="0.3">
      <c r="A145" s="74"/>
      <c r="B145" s="74"/>
      <c r="C145" s="74"/>
      <c r="D145" s="74"/>
      <c r="E145" s="74"/>
      <c r="F145" s="74"/>
      <c r="G145" s="74"/>
      <c r="H145" s="74"/>
      <c r="I145" s="74"/>
      <c r="J145" s="74"/>
      <c r="K145" s="74"/>
      <c r="O145" s="74"/>
    </row>
    <row r="146" spans="1:15" x14ac:dyDescent="0.3">
      <c r="A146" s="74"/>
      <c r="B146" s="74"/>
      <c r="C146" s="74"/>
      <c r="D146" s="74"/>
      <c r="E146" s="74"/>
      <c r="F146" s="74"/>
      <c r="G146" s="74"/>
      <c r="H146" s="74"/>
      <c r="I146" s="74"/>
      <c r="J146" s="74"/>
      <c r="K146" s="74"/>
      <c r="O146" s="74"/>
    </row>
    <row r="147" spans="1:15" x14ac:dyDescent="0.3">
      <c r="A147" s="74"/>
      <c r="B147" s="74"/>
      <c r="C147" s="74"/>
      <c r="D147" s="74"/>
      <c r="E147" s="74"/>
      <c r="F147" s="74"/>
      <c r="G147" s="74"/>
      <c r="H147" s="74"/>
      <c r="I147" s="74"/>
      <c r="J147" s="74"/>
      <c r="K147" s="74"/>
      <c r="O147" s="74"/>
    </row>
    <row r="148" spans="1:15" x14ac:dyDescent="0.3">
      <c r="A148" s="74"/>
      <c r="B148" s="74"/>
      <c r="C148" s="74"/>
      <c r="D148" s="74"/>
      <c r="E148" s="74"/>
      <c r="F148" s="74"/>
      <c r="G148" s="74"/>
      <c r="H148" s="74"/>
      <c r="I148" s="74"/>
      <c r="J148" s="74"/>
      <c r="K148" s="74"/>
      <c r="O148" s="74"/>
    </row>
    <row r="149" spans="1:15" x14ac:dyDescent="0.3">
      <c r="A149" s="74"/>
      <c r="B149" s="74"/>
      <c r="C149" s="74"/>
      <c r="D149" s="74"/>
      <c r="E149" s="74"/>
      <c r="F149" s="74"/>
      <c r="G149" s="74"/>
      <c r="H149" s="74"/>
      <c r="I149" s="74"/>
      <c r="J149" s="74"/>
      <c r="K149" s="74"/>
      <c r="O149" s="74"/>
    </row>
    <row r="150" spans="1:15" x14ac:dyDescent="0.3">
      <c r="A150" s="74"/>
      <c r="B150" s="74"/>
      <c r="C150" s="74"/>
      <c r="D150" s="74"/>
      <c r="E150" s="74"/>
      <c r="F150" s="74"/>
      <c r="G150" s="74"/>
      <c r="H150" s="74"/>
      <c r="I150" s="74"/>
      <c r="J150" s="74"/>
      <c r="K150" s="74"/>
      <c r="O150" s="74"/>
    </row>
    <row r="151" spans="1:15" x14ac:dyDescent="0.3">
      <c r="A151" s="74"/>
      <c r="B151" s="74"/>
      <c r="C151" s="74"/>
      <c r="D151" s="74"/>
      <c r="E151" s="74"/>
      <c r="F151" s="74"/>
      <c r="G151" s="74"/>
      <c r="H151" s="74"/>
      <c r="I151" s="74"/>
      <c r="J151" s="74"/>
      <c r="K151" s="74"/>
      <c r="O151" s="74"/>
    </row>
    <row r="152" spans="1:15" x14ac:dyDescent="0.3">
      <c r="A152" s="74"/>
      <c r="B152" s="74"/>
      <c r="C152" s="74"/>
      <c r="D152" s="74"/>
      <c r="E152" s="74"/>
      <c r="F152" s="74"/>
      <c r="G152" s="74"/>
      <c r="H152" s="74"/>
      <c r="I152" s="74"/>
      <c r="J152" s="74"/>
      <c r="K152" s="74"/>
      <c r="O152" s="74"/>
    </row>
    <row r="153" spans="1:15" x14ac:dyDescent="0.3">
      <c r="A153" s="74"/>
      <c r="B153" s="74"/>
      <c r="C153" s="74"/>
      <c r="D153" s="74"/>
      <c r="E153" s="74"/>
      <c r="F153" s="74"/>
      <c r="G153" s="74"/>
      <c r="H153" s="74"/>
      <c r="I153" s="74"/>
      <c r="J153" s="74"/>
      <c r="K153" s="74"/>
      <c r="O153" s="74"/>
    </row>
    <row r="154" spans="1:15" x14ac:dyDescent="0.3">
      <c r="O154" s="74"/>
    </row>
    <row r="155" spans="1:15" x14ac:dyDescent="0.3">
      <c r="O155" s="74"/>
    </row>
    <row r="156" spans="1:15" x14ac:dyDescent="0.3">
      <c r="O156" s="74"/>
    </row>
    <row r="157" spans="1:15" x14ac:dyDescent="0.3">
      <c r="O157" s="74"/>
    </row>
    <row r="158" spans="1:15" x14ac:dyDescent="0.3">
      <c r="O158" s="74"/>
    </row>
    <row r="159" spans="1:15" x14ac:dyDescent="0.3">
      <c r="O159" s="74"/>
    </row>
    <row r="160" spans="1:15" x14ac:dyDescent="0.3">
      <c r="O160" s="74"/>
    </row>
    <row r="161" spans="1:15" x14ac:dyDescent="0.3">
      <c r="O161" s="74"/>
    </row>
    <row r="162" spans="1:15" x14ac:dyDescent="0.3">
      <c r="O162" s="74"/>
    </row>
    <row r="163" spans="1:15" x14ac:dyDescent="0.3">
      <c r="O163" s="74"/>
    </row>
    <row r="164" spans="1:15" x14ac:dyDescent="0.3">
      <c r="O164" s="74"/>
    </row>
    <row r="165" spans="1:15" x14ac:dyDescent="0.3">
      <c r="O165" s="74"/>
    </row>
    <row r="166" spans="1:15" x14ac:dyDescent="0.3">
      <c r="O166" s="74"/>
    </row>
    <row r="167" spans="1:15" x14ac:dyDescent="0.3">
      <c r="O167" s="74"/>
    </row>
    <row r="168" spans="1:15" x14ac:dyDescent="0.3">
      <c r="O168" s="74"/>
    </row>
    <row r="169" spans="1:15" x14ac:dyDescent="0.3">
      <c r="O169" s="74"/>
    </row>
    <row r="170" spans="1:15" x14ac:dyDescent="0.3">
      <c r="A170" s="74"/>
      <c r="B170" s="74"/>
      <c r="C170" s="74"/>
      <c r="D170" s="74"/>
      <c r="E170" s="74"/>
      <c r="F170" s="74"/>
      <c r="G170" s="74"/>
      <c r="H170" s="74"/>
      <c r="I170" s="74"/>
      <c r="J170" s="74"/>
      <c r="K170" s="74"/>
      <c r="O170" s="74"/>
    </row>
    <row r="171" spans="1:15" x14ac:dyDescent="0.3">
      <c r="A171" s="74"/>
      <c r="B171" s="74"/>
      <c r="C171" s="74"/>
      <c r="D171" s="74"/>
      <c r="E171" s="74"/>
      <c r="F171" s="74"/>
      <c r="G171" s="74"/>
      <c r="H171" s="74"/>
      <c r="I171" s="74"/>
      <c r="J171" s="74"/>
      <c r="K171" s="74"/>
      <c r="O171" s="74"/>
    </row>
    <row r="172" spans="1:15" x14ac:dyDescent="0.3">
      <c r="A172" s="74"/>
      <c r="B172" s="74"/>
      <c r="C172" s="74"/>
      <c r="D172" s="74"/>
      <c r="E172" s="74"/>
      <c r="F172" s="74"/>
      <c r="G172" s="74"/>
      <c r="H172" s="74"/>
      <c r="I172" s="74"/>
      <c r="J172" s="74"/>
      <c r="K172" s="74"/>
      <c r="O172" s="74"/>
    </row>
    <row r="173" spans="1:15" x14ac:dyDescent="0.3">
      <c r="A173" s="74"/>
      <c r="B173" s="74"/>
      <c r="C173" s="74"/>
      <c r="D173" s="74"/>
      <c r="E173" s="74"/>
      <c r="F173" s="74"/>
      <c r="G173" s="74"/>
      <c r="H173" s="74"/>
      <c r="I173" s="74"/>
      <c r="J173" s="74"/>
      <c r="K173" s="74"/>
      <c r="O173" s="74"/>
    </row>
    <row r="174" spans="1:15" x14ac:dyDescent="0.3">
      <c r="A174" s="74"/>
      <c r="B174" s="74"/>
      <c r="C174" s="74"/>
      <c r="D174" s="74"/>
      <c r="E174" s="74"/>
      <c r="F174" s="74"/>
      <c r="G174" s="74"/>
      <c r="H174" s="74"/>
      <c r="I174" s="74"/>
      <c r="J174" s="74"/>
      <c r="K174" s="74"/>
      <c r="O174" s="74"/>
    </row>
    <row r="175" spans="1:15" x14ac:dyDescent="0.3">
      <c r="A175" s="74"/>
      <c r="B175" s="74"/>
      <c r="C175" s="74"/>
      <c r="D175" s="74"/>
      <c r="E175" s="74"/>
      <c r="F175" s="74"/>
      <c r="G175" s="74"/>
      <c r="H175" s="74"/>
      <c r="I175" s="74"/>
      <c r="J175" s="74"/>
      <c r="K175" s="74"/>
      <c r="O175" s="74"/>
    </row>
    <row r="176" spans="1:15" x14ac:dyDescent="0.3">
      <c r="A176" s="74"/>
      <c r="B176" s="74"/>
      <c r="C176" s="74"/>
      <c r="D176" s="74"/>
      <c r="E176" s="74"/>
      <c r="F176" s="74"/>
      <c r="G176" s="74"/>
      <c r="H176" s="74"/>
      <c r="I176" s="74"/>
      <c r="J176" s="74"/>
      <c r="K176" s="74"/>
      <c r="O176" s="74"/>
    </row>
  </sheetData>
  <hyperlinks>
    <hyperlink ref="A1" location="Innhold!A1" display="Tilbake" xr:uid="{00000000-0004-0000-0200-000000000000}"/>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Q62"/>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90" style="463" customWidth="1"/>
    <col min="2" max="43" width="11.7109375" style="463" customWidth="1"/>
    <col min="44" max="16384" width="11.42578125" style="463"/>
  </cols>
  <sheetData>
    <row r="1" spans="1:43" ht="20.25" x14ac:dyDescent="0.3">
      <c r="A1" s="461" t="s">
        <v>291</v>
      </c>
      <c r="B1" s="427" t="s">
        <v>52</v>
      </c>
      <c r="C1" s="462"/>
      <c r="D1" s="462"/>
      <c r="E1" s="462"/>
      <c r="F1" s="462"/>
      <c r="G1" s="462"/>
      <c r="H1" s="462"/>
      <c r="I1" s="462"/>
      <c r="J1" s="462"/>
    </row>
    <row r="2" spans="1:43" ht="20.25" x14ac:dyDescent="0.3">
      <c r="A2" s="461" t="s">
        <v>262</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row>
    <row r="3" spans="1:43" ht="18.75" x14ac:dyDescent="0.3">
      <c r="A3" s="465" t="s">
        <v>292</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row>
    <row r="4" spans="1:43" ht="18.75" customHeight="1" x14ac:dyDescent="0.25">
      <c r="A4" s="433" t="s">
        <v>416</v>
      </c>
      <c r="B4" s="467"/>
      <c r="C4" s="467"/>
      <c r="D4" s="468"/>
      <c r="E4" s="469"/>
      <c r="F4" s="467"/>
      <c r="G4" s="468"/>
      <c r="H4" s="469"/>
      <c r="I4" s="467"/>
      <c r="J4" s="468"/>
      <c r="K4" s="470"/>
      <c r="L4" s="470"/>
      <c r="M4" s="470"/>
      <c r="N4" s="471"/>
      <c r="O4" s="470"/>
      <c r="P4" s="472"/>
      <c r="Q4" s="471"/>
      <c r="R4" s="470"/>
      <c r="S4" s="472"/>
      <c r="T4" s="471"/>
      <c r="U4" s="470"/>
      <c r="V4" s="472"/>
      <c r="W4" s="471"/>
      <c r="X4" s="470"/>
      <c r="Y4" s="472"/>
      <c r="Z4" s="471"/>
      <c r="AA4" s="470"/>
      <c r="AB4" s="472"/>
      <c r="AC4" s="471"/>
      <c r="AD4" s="470"/>
      <c r="AE4" s="472"/>
      <c r="AF4" s="471"/>
      <c r="AG4" s="470"/>
      <c r="AH4" s="472"/>
      <c r="AI4" s="471"/>
      <c r="AJ4" s="470"/>
      <c r="AK4" s="472"/>
      <c r="AL4" s="473"/>
      <c r="AM4" s="474"/>
      <c r="AN4" s="475"/>
      <c r="AO4" s="471"/>
      <c r="AP4" s="470"/>
      <c r="AQ4" s="476"/>
    </row>
    <row r="5" spans="1:43" ht="18.75" customHeight="1" x14ac:dyDescent="0.3">
      <c r="A5" s="477" t="s">
        <v>106</v>
      </c>
      <c r="B5" s="708" t="s">
        <v>180</v>
      </c>
      <c r="C5" s="709"/>
      <c r="D5" s="710"/>
      <c r="E5" s="708" t="s">
        <v>181</v>
      </c>
      <c r="F5" s="709"/>
      <c r="G5" s="710"/>
      <c r="H5" s="708" t="s">
        <v>182</v>
      </c>
      <c r="I5" s="709"/>
      <c r="J5" s="710"/>
      <c r="K5" s="708" t="s">
        <v>183</v>
      </c>
      <c r="L5" s="709"/>
      <c r="M5" s="710"/>
      <c r="N5" s="708" t="s">
        <v>184</v>
      </c>
      <c r="O5" s="709"/>
      <c r="P5" s="710"/>
      <c r="Q5" s="708"/>
      <c r="R5" s="709"/>
      <c r="S5" s="710"/>
      <c r="T5" s="708" t="s">
        <v>63</v>
      </c>
      <c r="U5" s="709"/>
      <c r="V5" s="710"/>
      <c r="W5" s="597"/>
      <c r="X5" s="598"/>
      <c r="Y5" s="599"/>
      <c r="Z5" s="708" t="s">
        <v>185</v>
      </c>
      <c r="AA5" s="709"/>
      <c r="AB5" s="710"/>
      <c r="AC5" s="590"/>
      <c r="AD5" s="591"/>
      <c r="AE5" s="592"/>
      <c r="AF5" s="708"/>
      <c r="AG5" s="709"/>
      <c r="AH5" s="710"/>
      <c r="AI5" s="708" t="s">
        <v>75</v>
      </c>
      <c r="AJ5" s="709"/>
      <c r="AK5" s="710"/>
      <c r="AL5" s="711" t="s">
        <v>2</v>
      </c>
      <c r="AM5" s="712"/>
      <c r="AN5" s="713"/>
      <c r="AO5" s="708" t="s">
        <v>293</v>
      </c>
      <c r="AP5" s="709"/>
      <c r="AQ5" s="710"/>
    </row>
    <row r="6" spans="1:43" ht="21" customHeight="1" x14ac:dyDescent="0.3">
      <c r="A6" s="478"/>
      <c r="B6" s="702" t="s">
        <v>186</v>
      </c>
      <c r="C6" s="703"/>
      <c r="D6" s="704"/>
      <c r="E6" s="702" t="s">
        <v>187</v>
      </c>
      <c r="F6" s="703"/>
      <c r="G6" s="704"/>
      <c r="H6" s="702" t="s">
        <v>187</v>
      </c>
      <c r="I6" s="703"/>
      <c r="J6" s="704"/>
      <c r="K6" s="702" t="s">
        <v>188</v>
      </c>
      <c r="L6" s="703"/>
      <c r="M6" s="704"/>
      <c r="N6" s="702" t="s">
        <v>93</v>
      </c>
      <c r="O6" s="703"/>
      <c r="P6" s="704"/>
      <c r="Q6" s="702" t="s">
        <v>63</v>
      </c>
      <c r="R6" s="703"/>
      <c r="S6" s="704"/>
      <c r="T6" s="702" t="s">
        <v>189</v>
      </c>
      <c r="U6" s="703"/>
      <c r="V6" s="704"/>
      <c r="W6" s="702" t="s">
        <v>68</v>
      </c>
      <c r="X6" s="703"/>
      <c r="Y6" s="704"/>
      <c r="Z6" s="702" t="s">
        <v>186</v>
      </c>
      <c r="AA6" s="703"/>
      <c r="AB6" s="704"/>
      <c r="AC6" s="702" t="s">
        <v>74</v>
      </c>
      <c r="AD6" s="703"/>
      <c r="AE6" s="704"/>
      <c r="AF6" s="702" t="s">
        <v>70</v>
      </c>
      <c r="AG6" s="703"/>
      <c r="AH6" s="704"/>
      <c r="AI6" s="702" t="s">
        <v>187</v>
      </c>
      <c r="AJ6" s="703"/>
      <c r="AK6" s="704"/>
      <c r="AL6" s="705" t="s">
        <v>294</v>
      </c>
      <c r="AM6" s="706"/>
      <c r="AN6" s="707"/>
      <c r="AO6" s="702" t="s">
        <v>295</v>
      </c>
      <c r="AP6" s="703"/>
      <c r="AQ6" s="704"/>
    </row>
    <row r="7" spans="1:43" ht="18.75" customHeight="1" x14ac:dyDescent="0.3">
      <c r="A7" s="478"/>
      <c r="B7" s="477"/>
      <c r="C7" s="477"/>
      <c r="D7" s="479" t="s">
        <v>83</v>
      </c>
      <c r="E7" s="477"/>
      <c r="F7" s="477"/>
      <c r="G7" s="479" t="s">
        <v>83</v>
      </c>
      <c r="H7" s="477"/>
      <c r="I7" s="477"/>
      <c r="J7" s="479" t="s">
        <v>83</v>
      </c>
      <c r="K7" s="477"/>
      <c r="L7" s="477"/>
      <c r="M7" s="479" t="s">
        <v>83</v>
      </c>
      <c r="N7" s="477"/>
      <c r="O7" s="477"/>
      <c r="P7" s="479" t="s">
        <v>83</v>
      </c>
      <c r="Q7" s="477"/>
      <c r="R7" s="477"/>
      <c r="S7" s="479" t="s">
        <v>83</v>
      </c>
      <c r="T7" s="477"/>
      <c r="U7" s="477"/>
      <c r="V7" s="479" t="s">
        <v>83</v>
      </c>
      <c r="W7" s="477"/>
      <c r="X7" s="477"/>
      <c r="Y7" s="479" t="s">
        <v>83</v>
      </c>
      <c r="Z7" s="477"/>
      <c r="AA7" s="477"/>
      <c r="AB7" s="479" t="s">
        <v>83</v>
      </c>
      <c r="AC7" s="477"/>
      <c r="AD7" s="477"/>
      <c r="AE7" s="479" t="s">
        <v>83</v>
      </c>
      <c r="AF7" s="477"/>
      <c r="AG7" s="477"/>
      <c r="AH7" s="479" t="s">
        <v>83</v>
      </c>
      <c r="AI7" s="477"/>
      <c r="AJ7" s="477"/>
      <c r="AK7" s="479" t="s">
        <v>83</v>
      </c>
      <c r="AL7" s="477"/>
      <c r="AM7" s="477"/>
      <c r="AN7" s="479" t="s">
        <v>83</v>
      </c>
      <c r="AO7" s="477"/>
      <c r="AP7" s="477"/>
      <c r="AQ7" s="479" t="s">
        <v>83</v>
      </c>
    </row>
    <row r="8" spans="1:43" ht="18.75" customHeight="1" x14ac:dyDescent="0.25">
      <c r="A8" s="480" t="s">
        <v>296</v>
      </c>
      <c r="B8" s="586">
        <v>2018</v>
      </c>
      <c r="C8" s="586">
        <v>2019</v>
      </c>
      <c r="D8" s="481" t="s">
        <v>85</v>
      </c>
      <c r="E8" s="586">
        <v>2018</v>
      </c>
      <c r="F8" s="586">
        <v>2019</v>
      </c>
      <c r="G8" s="481" t="s">
        <v>85</v>
      </c>
      <c r="H8" s="586">
        <v>2018</v>
      </c>
      <c r="I8" s="586">
        <v>2019</v>
      </c>
      <c r="J8" s="481" t="s">
        <v>85</v>
      </c>
      <c r="K8" s="586">
        <v>2018</v>
      </c>
      <c r="L8" s="586">
        <v>2019</v>
      </c>
      <c r="M8" s="481" t="s">
        <v>85</v>
      </c>
      <c r="N8" s="586">
        <v>2018</v>
      </c>
      <c r="O8" s="586">
        <v>2019</v>
      </c>
      <c r="P8" s="481" t="s">
        <v>85</v>
      </c>
      <c r="Q8" s="586">
        <v>2018</v>
      </c>
      <c r="R8" s="586">
        <v>2019</v>
      </c>
      <c r="S8" s="481" t="s">
        <v>85</v>
      </c>
      <c r="T8" s="586">
        <v>2018</v>
      </c>
      <c r="U8" s="586">
        <v>2019</v>
      </c>
      <c r="V8" s="481" t="s">
        <v>85</v>
      </c>
      <c r="W8" s="586">
        <v>2018</v>
      </c>
      <c r="X8" s="586">
        <v>2019</v>
      </c>
      <c r="Y8" s="481" t="s">
        <v>85</v>
      </c>
      <c r="Z8" s="586">
        <v>2018</v>
      </c>
      <c r="AA8" s="586">
        <v>2019</v>
      </c>
      <c r="AB8" s="481" t="s">
        <v>85</v>
      </c>
      <c r="AC8" s="586">
        <v>2018</v>
      </c>
      <c r="AD8" s="586">
        <v>2019</v>
      </c>
      <c r="AE8" s="481" t="s">
        <v>85</v>
      </c>
      <c r="AF8" s="586">
        <v>2018</v>
      </c>
      <c r="AG8" s="586">
        <v>2019</v>
      </c>
      <c r="AH8" s="481" t="s">
        <v>85</v>
      </c>
      <c r="AI8" s="586">
        <v>2018</v>
      </c>
      <c r="AJ8" s="586">
        <v>2019</v>
      </c>
      <c r="AK8" s="481" t="s">
        <v>85</v>
      </c>
      <c r="AL8" s="586">
        <v>2018</v>
      </c>
      <c r="AM8" s="586">
        <v>2019</v>
      </c>
      <c r="AN8" s="481" t="s">
        <v>85</v>
      </c>
      <c r="AO8" s="586">
        <v>2018</v>
      </c>
      <c r="AP8" s="586">
        <v>2019</v>
      </c>
      <c r="AQ8" s="481" t="s">
        <v>85</v>
      </c>
    </row>
    <row r="9" spans="1:43" ht="18.75" customHeight="1" x14ac:dyDescent="0.3">
      <c r="A9" s="478" t="s">
        <v>297</v>
      </c>
      <c r="B9" s="578"/>
      <c r="C9" s="558"/>
      <c r="D9" s="483"/>
      <c r="E9" s="578"/>
      <c r="F9" s="558"/>
      <c r="G9" s="483"/>
      <c r="H9" s="578"/>
      <c r="I9" s="558"/>
      <c r="J9" s="483"/>
      <c r="K9" s="578"/>
      <c r="L9" s="558"/>
      <c r="M9" s="482"/>
      <c r="N9" s="606"/>
      <c r="O9" s="484"/>
      <c r="P9" s="483"/>
      <c r="Q9" s="583"/>
      <c r="R9" s="562"/>
      <c r="S9" s="483"/>
      <c r="T9" s="565"/>
      <c r="U9" s="558"/>
      <c r="V9" s="483"/>
      <c r="W9" s="578"/>
      <c r="X9" s="558"/>
      <c r="Y9" s="483"/>
      <c r="Z9" s="583"/>
      <c r="AA9" s="562"/>
      <c r="AB9" s="483"/>
      <c r="AC9" s="578"/>
      <c r="AD9" s="558"/>
      <c r="AE9" s="483"/>
      <c r="AF9" s="578"/>
      <c r="AG9" s="558"/>
      <c r="AH9" s="483"/>
      <c r="AI9" s="565"/>
      <c r="AJ9" s="558"/>
      <c r="AK9" s="483"/>
      <c r="AL9" s="483"/>
      <c r="AM9" s="483"/>
      <c r="AN9" s="483"/>
      <c r="AO9" s="485"/>
      <c r="AP9" s="485"/>
      <c r="AQ9" s="485"/>
    </row>
    <row r="10" spans="1:43" s="464" customFormat="1" ht="18.75" customHeight="1" x14ac:dyDescent="0.3">
      <c r="A10" s="486" t="s">
        <v>298</v>
      </c>
      <c r="B10" s="383"/>
      <c r="C10" s="381"/>
      <c r="D10" s="488"/>
      <c r="E10" s="383"/>
      <c r="F10" s="381"/>
      <c r="G10" s="488"/>
      <c r="H10" s="383"/>
      <c r="I10" s="381"/>
      <c r="J10" s="488"/>
      <c r="K10" s="383"/>
      <c r="L10" s="381"/>
      <c r="M10" s="487"/>
      <c r="N10" s="604"/>
      <c r="O10" s="490"/>
      <c r="P10" s="488"/>
      <c r="Q10" s="404"/>
      <c r="R10" s="335"/>
      <c r="S10" s="488"/>
      <c r="T10" s="566"/>
      <c r="U10" s="381"/>
      <c r="V10" s="488"/>
      <c r="W10" s="383"/>
      <c r="X10" s="381"/>
      <c r="Y10" s="488"/>
      <c r="Z10" s="404"/>
      <c r="AA10" s="335"/>
      <c r="AB10" s="488"/>
      <c r="AC10" s="383"/>
      <c r="AD10" s="381"/>
      <c r="AE10" s="488"/>
      <c r="AF10" s="383"/>
      <c r="AG10" s="381"/>
      <c r="AH10" s="488"/>
      <c r="AI10" s="566"/>
      <c r="AJ10" s="381"/>
      <c r="AK10" s="488"/>
      <c r="AL10" s="488"/>
      <c r="AM10" s="488"/>
      <c r="AN10" s="488"/>
      <c r="AO10" s="491"/>
      <c r="AP10" s="491"/>
      <c r="AQ10" s="491"/>
    </row>
    <row r="11" spans="1:43" s="464" customFormat="1" ht="18.75" customHeight="1" x14ac:dyDescent="0.3">
      <c r="A11" s="486" t="s">
        <v>299</v>
      </c>
      <c r="B11" s="404">
        <v>1138.25</v>
      </c>
      <c r="C11" s="335">
        <f>1185.732+0.432</f>
        <v>1186.164</v>
      </c>
      <c r="D11" s="488">
        <f t="shared" ref="D11:D16" si="0">IF(B11=0, "    ---- ", IF(ABS(ROUND(100/B11*C11-100,1))&lt;999,ROUND(100/B11*C11-100,1),IF(ROUND(100/B11*C11-100,1)&gt;999,999,-999)))</f>
        <v>4.2</v>
      </c>
      <c r="E11" s="404">
        <v>7243.76</v>
      </c>
      <c r="F11" s="335">
        <v>7965.4204850000006</v>
      </c>
      <c r="G11" s="488">
        <f t="shared" ref="G11:G17" si="1">IF(E11=0, "    ---- ", IF(ABS(ROUND(100/E11*F11-100,1))&lt;999,ROUND(100/E11*F11-100,1),IF(ROUND(100/E11*F11-100,1)&gt;999,999,-999)))</f>
        <v>10</v>
      </c>
      <c r="H11" s="404">
        <v>727.5</v>
      </c>
      <c r="I11" s="335">
        <v>780.34</v>
      </c>
      <c r="J11" s="488">
        <f t="shared" ref="J11:J17" si="2">IF(H11=0, "    ---- ", IF(ABS(ROUND(100/H11*I11-100,1))&lt;999,ROUND(100/H11*I11-100,1),IF(ROUND(100/H11*I11-100,1)&gt;999,999,-999)))</f>
        <v>7.3</v>
      </c>
      <c r="K11" s="404">
        <v>1693</v>
      </c>
      <c r="L11" s="335">
        <v>1912.3</v>
      </c>
      <c r="M11" s="488">
        <f t="shared" ref="M11:M16" si="3">IF(K11=0, "    ---- ", IF(ABS(ROUND(100/K11*L11-100,1))&lt;999,ROUND(100/K11*L11-100,1),IF(ROUND(100/K11*L11-100,1)&gt;999,999,-999)))</f>
        <v>13</v>
      </c>
      <c r="N11" s="404">
        <v>19</v>
      </c>
      <c r="O11" s="335">
        <v>18.0184885</v>
      </c>
      <c r="P11" s="488">
        <f>IF(N11=0, "    ---- ", IF(ABS(ROUND(100/N11*O11-100,1))&lt;999,ROUND(100/N11*O11-100,1),IF(ROUND(100/N11*O11-100,1)&gt;999,999,-999)))</f>
        <v>-5.2</v>
      </c>
      <c r="Q11" s="404">
        <v>21985.183815560002</v>
      </c>
      <c r="R11" s="335">
        <v>21833.443795720003</v>
      </c>
      <c r="S11" s="488">
        <f t="shared" ref="S11:S17" si="4">IF(Q11=0, "    ---- ", IF(ABS(ROUND(100/Q11*R11-100,1))&lt;999,ROUND(100/Q11*R11-100,1),IF(ROUND(100/Q11*R11-100,1)&gt;999,999,-999)))</f>
        <v>-0.7</v>
      </c>
      <c r="T11" s="567">
        <v>257.21300000000002</v>
      </c>
      <c r="U11" s="335">
        <v>315.09500000000003</v>
      </c>
      <c r="V11" s="488">
        <f t="shared" ref="V11:V30" si="5">IF(T11=0, "    ---- ", IF(ABS(ROUND(100/T11*U11-100,1))&lt;999,ROUND(100/T11*U11-100,1),IF(ROUND(100/T11*U11-100,1)&gt;999,999,-999)))</f>
        <v>22.5</v>
      </c>
      <c r="W11" s="404">
        <v>5274.6</v>
      </c>
      <c r="X11" s="335">
        <v>6845</v>
      </c>
      <c r="Y11" s="488">
        <f t="shared" ref="Y11:Y17" si="6">IF(W11=0, "    ---- ", IF(ABS(ROUND(100/W11*X11-100,1))&lt;999,ROUND(100/W11*X11-100,1),IF(ROUND(100/W11*X11-100,1)&gt;999,999,-999)))</f>
        <v>29.8</v>
      </c>
      <c r="Z11" s="404">
        <v>1446</v>
      </c>
      <c r="AA11" s="335">
        <v>1844</v>
      </c>
      <c r="AB11" s="488">
        <f t="shared" ref="AB11:AB17" si="7">IF(Z11=0, "    ---- ", IF(ABS(ROUND(100/Z11*AA11-100,1))&lt;999,ROUND(100/Z11*AA11-100,1),IF(ROUND(100/Z11*AA11-100,1)&gt;999,999,-999)))</f>
        <v>27.5</v>
      </c>
      <c r="AC11" s="404">
        <v>74</v>
      </c>
      <c r="AD11" s="335">
        <v>69.806938299999999</v>
      </c>
      <c r="AE11" s="488">
        <f t="shared" ref="AE11:AE16" si="8">IF(AC11=0, "    ---- ", IF(ABS(ROUND(100/AC11*AD11-100,1))&lt;999,ROUND(100/AC11*AD11-100,1),IF(ROUND(100/AC11*AD11-100,1)&gt;999,999,-999)))</f>
        <v>-5.7</v>
      </c>
      <c r="AF11" s="404">
        <v>3488.5521795299996</v>
      </c>
      <c r="AG11" s="335">
        <v>3892.8486655400002</v>
      </c>
      <c r="AH11" s="488">
        <f t="shared" ref="AH11:AH17" si="9">IF(AF11=0, "    ---- ", IF(ABS(ROUND(100/AF11*AG11-100,1))&lt;999,ROUND(100/AF11*AG11-100,1),IF(ROUND(100/AF11*AG11-100,1)&gt;999,999,-999)))</f>
        <v>11.6</v>
      </c>
      <c r="AI11" s="567">
        <v>8990.6</v>
      </c>
      <c r="AJ11" s="335">
        <v>9049</v>
      </c>
      <c r="AK11" s="488">
        <f t="shared" ref="AK11:AK17" si="10">IF(AI11=0, "    ---- ", IF(ABS(ROUND(100/AI11*AJ11-100,1))&lt;999,ROUND(100/AI11*AJ11-100,1),IF(ROUND(100/AI11*AJ11-100,1)&gt;999,999,-999)))</f>
        <v>0.6</v>
      </c>
      <c r="AL11" s="488">
        <f>B11+E11+H11+K11+Q11+T11+W11+Z11+AF11+AI11</f>
        <v>52244.658995090002</v>
      </c>
      <c r="AM11" s="488">
        <f>C11+F11+I11+L11+R11+U11+X11+AA11+AG11+AJ11</f>
        <v>55623.611946260004</v>
      </c>
      <c r="AN11" s="488">
        <f t="shared" ref="AN11:AN45" si="11">IF(AL11=0, "    ---- ", IF(ABS(ROUND(100/AL11*AM11-100,1))&lt;999,ROUND(100/AL11*AM11-100,1),IF(ROUND(100/AL11*AM11-100,1)&gt;999,999,-999)))</f>
        <v>6.5</v>
      </c>
      <c r="AO11" s="492">
        <f>+B11+E11+H11+K11+N11+Q11+T11+W11+Z11+AC11+AF11+AI11</f>
        <v>52337.658995090002</v>
      </c>
      <c r="AP11" s="492">
        <f>+C11+F11+I11+L11+O11+R11+U11+X11+AA11+AD11+AG11+AJ11</f>
        <v>55711.437373059998</v>
      </c>
      <c r="AQ11" s="488">
        <f t="shared" ref="AQ11:AQ17" si="12">IF(AO11=0, "    ---- ", IF(ABS(ROUND(100/AO11*AP11-100,1))&lt;999,ROUND(100/AO11*AP11-100,1),IF(ROUND(100/AO11*AP11-100,1)&gt;999,999,-999)))</f>
        <v>6.4</v>
      </c>
    </row>
    <row r="12" spans="1:43" s="464" customFormat="1" ht="18.75" customHeight="1" x14ac:dyDescent="0.3">
      <c r="A12" s="486" t="s">
        <v>300</v>
      </c>
      <c r="B12" s="404">
        <v>-59.506999999999998</v>
      </c>
      <c r="C12" s="335">
        <v>-66.927000000000007</v>
      </c>
      <c r="D12" s="488">
        <f t="shared" si="0"/>
        <v>12.5</v>
      </c>
      <c r="E12" s="404">
        <v>-132.983</v>
      </c>
      <c r="F12" s="335">
        <v>-135.73557199999999</v>
      </c>
      <c r="G12" s="488">
        <f t="shared" si="1"/>
        <v>2.1</v>
      </c>
      <c r="H12" s="404">
        <v>-29.9</v>
      </c>
      <c r="I12" s="335">
        <v>-0.64600000000000002</v>
      </c>
      <c r="J12" s="488">
        <f t="shared" si="2"/>
        <v>-97.8</v>
      </c>
      <c r="K12" s="404">
        <v>-28</v>
      </c>
      <c r="L12" s="335">
        <v>-33.700000000000003</v>
      </c>
      <c r="M12" s="488">
        <f t="shared" si="3"/>
        <v>20.399999999999999</v>
      </c>
      <c r="N12" s="404"/>
      <c r="O12" s="335"/>
      <c r="P12" s="488"/>
      <c r="Q12" s="404">
        <v>-1.5713729999999999</v>
      </c>
      <c r="R12" s="335">
        <v>0</v>
      </c>
      <c r="S12" s="488">
        <f t="shared" si="4"/>
        <v>-100</v>
      </c>
      <c r="T12" s="567"/>
      <c r="U12" s="335"/>
      <c r="V12" s="488" t="str">
        <f t="shared" si="5"/>
        <v xml:space="preserve">    ---- </v>
      </c>
      <c r="W12" s="404">
        <v>-43</v>
      </c>
      <c r="X12" s="335">
        <v>-39</v>
      </c>
      <c r="Y12" s="488">
        <f t="shared" si="6"/>
        <v>-9.3000000000000007</v>
      </c>
      <c r="Z12" s="404">
        <v>-1</v>
      </c>
      <c r="AA12" s="335">
        <v>-1</v>
      </c>
      <c r="AB12" s="488"/>
      <c r="AC12" s="404"/>
      <c r="AD12" s="335"/>
      <c r="AE12" s="488"/>
      <c r="AF12" s="404">
        <v>-101.51600000000001</v>
      </c>
      <c r="AG12" s="335">
        <v>-95.212000000000003</v>
      </c>
      <c r="AH12" s="488">
        <f t="shared" si="9"/>
        <v>-6.2</v>
      </c>
      <c r="AI12" s="567">
        <v>-14.4</v>
      </c>
      <c r="AJ12" s="335">
        <v>-6.5</v>
      </c>
      <c r="AK12" s="488">
        <f t="shared" si="10"/>
        <v>-54.9</v>
      </c>
      <c r="AL12" s="488">
        <f t="shared" ref="AL12:AM34" si="13">B12+E12+H12+K12+Q12+T12+W12+Z12+AF12+AI12</f>
        <v>-411.87737299999998</v>
      </c>
      <c r="AM12" s="488">
        <f t="shared" si="13"/>
        <v>-378.720572</v>
      </c>
      <c r="AN12" s="488">
        <f t="shared" si="11"/>
        <v>-8.1</v>
      </c>
      <c r="AO12" s="492">
        <f t="shared" ref="AO12:AP17" si="14">+B12+E12+H12+K12+N12+Q12+T12+W12+Z12+AC12+AF12+AI12</f>
        <v>-411.87737299999998</v>
      </c>
      <c r="AP12" s="492">
        <f t="shared" si="14"/>
        <v>-378.720572</v>
      </c>
      <c r="AQ12" s="488">
        <f t="shared" si="12"/>
        <v>-8.1</v>
      </c>
    </row>
    <row r="13" spans="1:43" s="464" customFormat="1" ht="18.75" customHeight="1" x14ac:dyDescent="0.3">
      <c r="A13" s="486" t="s">
        <v>301</v>
      </c>
      <c r="B13" s="404">
        <v>367.62400000000002</v>
      </c>
      <c r="C13" s="335">
        <v>626.702</v>
      </c>
      <c r="D13" s="488">
        <f t="shared" si="0"/>
        <v>70.5</v>
      </c>
      <c r="E13" s="404">
        <v>1891.019</v>
      </c>
      <c r="F13" s="335">
        <v>2173.9665583400001</v>
      </c>
      <c r="G13" s="488">
        <f t="shared" si="1"/>
        <v>15</v>
      </c>
      <c r="H13" s="404">
        <v>30.4</v>
      </c>
      <c r="I13" s="335">
        <v>97.753</v>
      </c>
      <c r="J13" s="488">
        <f t="shared" si="2"/>
        <v>221.6</v>
      </c>
      <c r="K13" s="404">
        <v>886</v>
      </c>
      <c r="L13" s="335">
        <v>916.9</v>
      </c>
      <c r="M13" s="488">
        <f t="shared" si="3"/>
        <v>3.5</v>
      </c>
      <c r="N13" s="404"/>
      <c r="O13" s="335"/>
      <c r="P13" s="488"/>
      <c r="Q13" s="404">
        <v>5.3019790000000002</v>
      </c>
      <c r="R13" s="335">
        <v>0.23514299999999999</v>
      </c>
      <c r="S13" s="488">
        <f t="shared" si="4"/>
        <v>-95.6</v>
      </c>
      <c r="T13" s="567">
        <v>217.19900000000001</v>
      </c>
      <c r="U13" s="335">
        <v>309.62099999999998</v>
      </c>
      <c r="V13" s="488">
        <f t="shared" si="5"/>
        <v>42.6</v>
      </c>
      <c r="W13" s="404">
        <v>1515.7</v>
      </c>
      <c r="X13" s="335">
        <v>1553</v>
      </c>
      <c r="Y13" s="488">
        <f t="shared" si="6"/>
        <v>2.5</v>
      </c>
      <c r="Z13" s="404">
        <v>310</v>
      </c>
      <c r="AA13" s="335">
        <v>106</v>
      </c>
      <c r="AB13" s="488"/>
      <c r="AC13" s="404">
        <v>107</v>
      </c>
      <c r="AD13" s="335">
        <v>57.997464999999998</v>
      </c>
      <c r="AE13" s="488">
        <f t="shared" si="8"/>
        <v>-45.8</v>
      </c>
      <c r="AF13" s="404">
        <v>1653.9535755499999</v>
      </c>
      <c r="AG13" s="335">
        <v>843.94891141999994</v>
      </c>
      <c r="AH13" s="488">
        <f t="shared" si="9"/>
        <v>-49</v>
      </c>
      <c r="AI13" s="567">
        <v>1214.3</v>
      </c>
      <c r="AJ13" s="335">
        <v>1799</v>
      </c>
      <c r="AK13" s="488">
        <f t="shared" si="10"/>
        <v>48.2</v>
      </c>
      <c r="AL13" s="488">
        <f t="shared" si="13"/>
        <v>8091.4975545500001</v>
      </c>
      <c r="AM13" s="488">
        <f t="shared" si="13"/>
        <v>8427.1266127599993</v>
      </c>
      <c r="AN13" s="488">
        <f t="shared" si="11"/>
        <v>4.0999999999999996</v>
      </c>
      <c r="AO13" s="492">
        <f t="shared" si="14"/>
        <v>8198.4975545500001</v>
      </c>
      <c r="AP13" s="492">
        <f t="shared" si="14"/>
        <v>8485.1240777599996</v>
      </c>
      <c r="AQ13" s="488">
        <f t="shared" si="12"/>
        <v>3.5</v>
      </c>
    </row>
    <row r="14" spans="1:43" s="464" customFormat="1" ht="18.75" customHeight="1" x14ac:dyDescent="0.3">
      <c r="A14" s="486" t="s">
        <v>302</v>
      </c>
      <c r="B14" s="615">
        <v>1446.367</v>
      </c>
      <c r="C14" s="564">
        <f>SUM(C11:C13)</f>
        <v>1745.9390000000001</v>
      </c>
      <c r="D14" s="488">
        <f t="shared" si="0"/>
        <v>20.7</v>
      </c>
      <c r="E14" s="383">
        <v>9001.7960000000003</v>
      </c>
      <c r="F14" s="381">
        <f>SUM(F11:F13)</f>
        <v>10003.651471340001</v>
      </c>
      <c r="G14" s="488">
        <f t="shared" si="1"/>
        <v>11.1</v>
      </c>
      <c r="H14" s="383">
        <v>728</v>
      </c>
      <c r="I14" s="381">
        <f>SUM(I11:I13)</f>
        <v>877.44700000000012</v>
      </c>
      <c r="J14" s="488">
        <f t="shared" si="2"/>
        <v>20.5</v>
      </c>
      <c r="K14" s="383">
        <f>SUM(K11:K13)</f>
        <v>2551</v>
      </c>
      <c r="L14" s="381">
        <f>SUM(L11:L13)</f>
        <v>2795.5</v>
      </c>
      <c r="M14" s="488">
        <f t="shared" si="3"/>
        <v>9.6</v>
      </c>
      <c r="N14" s="383">
        <v>19</v>
      </c>
      <c r="O14" s="381">
        <f>SUM(O11:O13)</f>
        <v>18.0184885</v>
      </c>
      <c r="P14" s="488">
        <f>IF(N14=0, "    ---- ", IF(ABS(ROUND(100/N14*O14-100,1))&lt;999,ROUND(100/N14*O14-100,1),IF(ROUND(100/N14*O14-100,1)&gt;999,999,-999)))</f>
        <v>-5.2</v>
      </c>
      <c r="Q14" s="383">
        <v>21988.914421560003</v>
      </c>
      <c r="R14" s="381">
        <f>SUM(R11:R13)</f>
        <v>21833.678938720004</v>
      </c>
      <c r="S14" s="488">
        <f t="shared" si="4"/>
        <v>-0.7</v>
      </c>
      <c r="T14" s="566">
        <v>474.41200000000003</v>
      </c>
      <c r="U14" s="381">
        <f>SUM(U11:U13)</f>
        <v>624.71600000000001</v>
      </c>
      <c r="V14" s="488">
        <f t="shared" si="5"/>
        <v>31.7</v>
      </c>
      <c r="W14" s="383">
        <v>6747.3</v>
      </c>
      <c r="X14" s="381">
        <f>SUM(X11:X13)</f>
        <v>8359</v>
      </c>
      <c r="Y14" s="488">
        <f t="shared" si="6"/>
        <v>23.9</v>
      </c>
      <c r="Z14" s="383">
        <v>1755</v>
      </c>
      <c r="AA14" s="381">
        <f>SUM(AA11:AA13)</f>
        <v>1949</v>
      </c>
      <c r="AB14" s="488">
        <f t="shared" si="7"/>
        <v>11.1</v>
      </c>
      <c r="AC14" s="383">
        <v>181</v>
      </c>
      <c r="AD14" s="381">
        <f>SUM(AD11:AD13)</f>
        <v>127.80440329999999</v>
      </c>
      <c r="AE14" s="488">
        <f t="shared" si="8"/>
        <v>-29.4</v>
      </c>
      <c r="AF14" s="383">
        <v>5040.9897550799997</v>
      </c>
      <c r="AG14" s="381">
        <f>SUM(AG11:AG13)</f>
        <v>4641.5855769600003</v>
      </c>
      <c r="AH14" s="488">
        <f t="shared" si="9"/>
        <v>-7.9</v>
      </c>
      <c r="AI14" s="566">
        <f>SUM(AI11:AI13)</f>
        <v>10190.5</v>
      </c>
      <c r="AJ14" s="381">
        <f>SUM(AJ11:AJ13)</f>
        <v>10841.5</v>
      </c>
      <c r="AK14" s="488">
        <f t="shared" si="10"/>
        <v>6.4</v>
      </c>
      <c r="AL14" s="488">
        <f t="shared" si="13"/>
        <v>59924.279176640004</v>
      </c>
      <c r="AM14" s="488">
        <f t="shared" si="13"/>
        <v>63672.017987020008</v>
      </c>
      <c r="AN14" s="488">
        <f t="shared" si="11"/>
        <v>6.3</v>
      </c>
      <c r="AO14" s="492">
        <f t="shared" si="14"/>
        <v>60124.279176640004</v>
      </c>
      <c r="AP14" s="492">
        <f t="shared" si="14"/>
        <v>63817.840878820003</v>
      </c>
      <c r="AQ14" s="488">
        <f t="shared" si="12"/>
        <v>6.1</v>
      </c>
    </row>
    <row r="15" spans="1:43" s="464" customFormat="1" ht="18.75" customHeight="1" x14ac:dyDescent="0.3">
      <c r="A15" s="486" t="s">
        <v>303</v>
      </c>
      <c r="B15" s="399">
        <v>6.0960000000000001</v>
      </c>
      <c r="C15" s="397">
        <v>30.812000000000001</v>
      </c>
      <c r="D15" s="488">
        <f t="shared" si="0"/>
        <v>405.4</v>
      </c>
      <c r="E15" s="399">
        <v>3630.7979999999998</v>
      </c>
      <c r="F15" s="397">
        <v>6758.9295845100005</v>
      </c>
      <c r="G15" s="488">
        <f t="shared" si="1"/>
        <v>86.2</v>
      </c>
      <c r="H15" s="584">
        <v>8.5</v>
      </c>
      <c r="I15" s="563">
        <v>35.502000000000002</v>
      </c>
      <c r="J15" s="488">
        <f t="shared" si="2"/>
        <v>317.7</v>
      </c>
      <c r="K15" s="399">
        <v>113</v>
      </c>
      <c r="L15" s="397">
        <v>137.5</v>
      </c>
      <c r="M15" s="488">
        <f t="shared" si="3"/>
        <v>21.7</v>
      </c>
      <c r="N15" s="582"/>
      <c r="O15" s="561"/>
      <c r="P15" s="488"/>
      <c r="Q15" s="399">
        <v>6482.8298282700007</v>
      </c>
      <c r="R15" s="397">
        <v>24380.630226429999</v>
      </c>
      <c r="S15" s="488">
        <f t="shared" si="4"/>
        <v>276.10000000000002</v>
      </c>
      <c r="T15" s="585">
        <v>24.062999999999999</v>
      </c>
      <c r="U15" s="397">
        <v>34.515000000000001</v>
      </c>
      <c r="V15" s="488">
        <f t="shared" si="5"/>
        <v>43.4</v>
      </c>
      <c r="W15" s="399">
        <v>958</v>
      </c>
      <c r="X15" s="397">
        <v>1457</v>
      </c>
      <c r="Y15" s="488">
        <f t="shared" si="6"/>
        <v>52.1</v>
      </c>
      <c r="Z15" s="399">
        <v>1736</v>
      </c>
      <c r="AA15" s="397">
        <v>4544</v>
      </c>
      <c r="AB15" s="488">
        <f t="shared" si="7"/>
        <v>161.80000000000001</v>
      </c>
      <c r="AC15" s="582"/>
      <c r="AD15" s="561"/>
      <c r="AE15" s="488"/>
      <c r="AF15" s="494">
        <v>400.57617021000027</v>
      </c>
      <c r="AG15" s="495">
        <v>1773.2492596699985</v>
      </c>
      <c r="AH15" s="488">
        <f t="shared" si="9"/>
        <v>342.7</v>
      </c>
      <c r="AI15" s="585">
        <v>2445.1</v>
      </c>
      <c r="AJ15" s="397">
        <v>6059</v>
      </c>
      <c r="AK15" s="488">
        <f t="shared" si="10"/>
        <v>147.80000000000001</v>
      </c>
      <c r="AL15" s="488">
        <f t="shared" si="13"/>
        <v>15804.962998480001</v>
      </c>
      <c r="AM15" s="488">
        <f t="shared" si="13"/>
        <v>45211.138070609995</v>
      </c>
      <c r="AN15" s="488">
        <f t="shared" si="11"/>
        <v>186.1</v>
      </c>
      <c r="AO15" s="492">
        <f t="shared" si="14"/>
        <v>15804.962998480001</v>
      </c>
      <c r="AP15" s="492">
        <f t="shared" si="14"/>
        <v>45211.138070609995</v>
      </c>
      <c r="AQ15" s="488">
        <f t="shared" si="12"/>
        <v>186.1</v>
      </c>
    </row>
    <row r="16" spans="1:43" s="464" customFormat="1" ht="18.75" customHeight="1" x14ac:dyDescent="0.3">
      <c r="A16" s="486" t="s">
        <v>304</v>
      </c>
      <c r="B16" s="399">
        <v>-128.28700000000001</v>
      </c>
      <c r="C16" s="397">
        <v>1373.1869999999999</v>
      </c>
      <c r="D16" s="488">
        <f t="shared" si="0"/>
        <v>-999</v>
      </c>
      <c r="E16" s="399">
        <v>853.03</v>
      </c>
      <c r="F16" s="397">
        <v>8179.0686307800024</v>
      </c>
      <c r="G16" s="488">
        <f t="shared" si="1"/>
        <v>858.8</v>
      </c>
      <c r="H16" s="584">
        <v>-38.200000000000003</v>
      </c>
      <c r="I16" s="563">
        <v>272.89600000000002</v>
      </c>
      <c r="J16" s="488">
        <f t="shared" si="2"/>
        <v>-814.4</v>
      </c>
      <c r="K16" s="399">
        <v>-13</v>
      </c>
      <c r="L16" s="397">
        <v>2239.46</v>
      </c>
      <c r="M16" s="487">
        <f t="shared" si="3"/>
        <v>-999</v>
      </c>
      <c r="N16" s="582"/>
      <c r="O16" s="561"/>
      <c r="P16" s="496"/>
      <c r="Q16" s="399">
        <v>30.159744839999998</v>
      </c>
      <c r="R16" s="397">
        <v>130.44012617000001</v>
      </c>
      <c r="S16" s="496">
        <f t="shared" si="4"/>
        <v>332.5</v>
      </c>
      <c r="T16" s="585">
        <v>35.093000000000004</v>
      </c>
      <c r="U16" s="397">
        <v>336.13400000000001</v>
      </c>
      <c r="V16" s="496">
        <f t="shared" si="5"/>
        <v>857.8</v>
      </c>
      <c r="W16" s="399">
        <v>-113</v>
      </c>
      <c r="X16" s="397">
        <v>5029</v>
      </c>
      <c r="Y16" s="488">
        <f t="shared" si="6"/>
        <v>-999</v>
      </c>
      <c r="Z16" s="399"/>
      <c r="AA16" s="397"/>
      <c r="AB16" s="488"/>
      <c r="AC16" s="582">
        <v>-7</v>
      </c>
      <c r="AD16" s="397">
        <v>222.48430877999999</v>
      </c>
      <c r="AE16" s="488">
        <f t="shared" si="8"/>
        <v>-999</v>
      </c>
      <c r="AF16" s="494">
        <v>375.19863927</v>
      </c>
      <c r="AG16" s="495">
        <v>2662.7825800399996</v>
      </c>
      <c r="AH16" s="488">
        <f t="shared" si="9"/>
        <v>609.70000000000005</v>
      </c>
      <c r="AI16" s="585">
        <v>632.6</v>
      </c>
      <c r="AJ16" s="397">
        <v>7788</v>
      </c>
      <c r="AK16" s="488">
        <f t="shared" si="10"/>
        <v>999</v>
      </c>
      <c r="AL16" s="488">
        <f t="shared" si="13"/>
        <v>1633.5943841099997</v>
      </c>
      <c r="AM16" s="488">
        <f t="shared" si="13"/>
        <v>28010.968336990005</v>
      </c>
      <c r="AN16" s="488">
        <f t="shared" si="11"/>
        <v>999</v>
      </c>
      <c r="AO16" s="492">
        <f t="shared" si="14"/>
        <v>1626.5943841099997</v>
      </c>
      <c r="AP16" s="492">
        <f t="shared" si="14"/>
        <v>28233.452645770005</v>
      </c>
      <c r="AQ16" s="488">
        <f t="shared" si="12"/>
        <v>999</v>
      </c>
    </row>
    <row r="17" spans="1:43" s="464" customFormat="1" ht="18.75" customHeight="1" x14ac:dyDescent="0.3">
      <c r="A17" s="486" t="s">
        <v>305</v>
      </c>
      <c r="B17" s="399"/>
      <c r="C17" s="397"/>
      <c r="D17" s="488"/>
      <c r="E17" s="399">
        <v>5.7460000000000004</v>
      </c>
      <c r="F17" s="397">
        <v>33.79341247</v>
      </c>
      <c r="G17" s="488">
        <f t="shared" si="1"/>
        <v>488.1</v>
      </c>
      <c r="H17" s="584">
        <v>6.2</v>
      </c>
      <c r="I17" s="563">
        <v>6.7729999999999997</v>
      </c>
      <c r="J17" s="488">
        <f t="shared" si="2"/>
        <v>9.1999999999999993</v>
      </c>
      <c r="K17" s="399">
        <v>73</v>
      </c>
      <c r="L17" s="397">
        <v>79.2</v>
      </c>
      <c r="M17" s="488"/>
      <c r="N17" s="582"/>
      <c r="O17" s="561"/>
      <c r="P17" s="488"/>
      <c r="Q17" s="399">
        <v>510.596002</v>
      </c>
      <c r="R17" s="397">
        <v>547.30926499999998</v>
      </c>
      <c r="S17" s="488">
        <f t="shared" si="4"/>
        <v>7.2</v>
      </c>
      <c r="T17" s="585">
        <v>2.016</v>
      </c>
      <c r="U17" s="397">
        <v>4.0140000000000002</v>
      </c>
      <c r="V17" s="488">
        <f t="shared" si="5"/>
        <v>99.1</v>
      </c>
      <c r="W17" s="399">
        <v>68</v>
      </c>
      <c r="X17" s="397">
        <v>88</v>
      </c>
      <c r="Y17" s="488">
        <f t="shared" si="6"/>
        <v>29.4</v>
      </c>
      <c r="Z17" s="399">
        <v>106</v>
      </c>
      <c r="AA17" s="397">
        <v>103</v>
      </c>
      <c r="AB17" s="488">
        <f t="shared" si="7"/>
        <v>-2.8</v>
      </c>
      <c r="AC17" s="582"/>
      <c r="AD17" s="561"/>
      <c r="AE17" s="488"/>
      <c r="AF17" s="494">
        <v>71.552944159999981</v>
      </c>
      <c r="AG17" s="495">
        <v>104.24109184999999</v>
      </c>
      <c r="AH17" s="488">
        <f t="shared" si="9"/>
        <v>45.7</v>
      </c>
      <c r="AI17" s="585">
        <v>307.60000000000002</v>
      </c>
      <c r="AJ17" s="397">
        <v>350</v>
      </c>
      <c r="AK17" s="488">
        <f t="shared" si="10"/>
        <v>13.8</v>
      </c>
      <c r="AL17" s="488">
        <f t="shared" si="13"/>
        <v>1150.7109461599998</v>
      </c>
      <c r="AM17" s="488">
        <f t="shared" si="13"/>
        <v>1316.3307693199999</v>
      </c>
      <c r="AN17" s="488">
        <f t="shared" si="11"/>
        <v>14.4</v>
      </c>
      <c r="AO17" s="492">
        <f t="shared" si="14"/>
        <v>1150.7109461599998</v>
      </c>
      <c r="AP17" s="492">
        <f t="shared" si="14"/>
        <v>1316.3307693199999</v>
      </c>
      <c r="AQ17" s="488">
        <f t="shared" si="12"/>
        <v>14.4</v>
      </c>
    </row>
    <row r="18" spans="1:43" s="464" customFormat="1" ht="18.75" customHeight="1" x14ac:dyDescent="0.3">
      <c r="A18" s="486" t="s">
        <v>306</v>
      </c>
      <c r="B18" s="399"/>
      <c r="C18" s="397"/>
      <c r="D18" s="488"/>
      <c r="E18" s="399"/>
      <c r="F18" s="397"/>
      <c r="G18" s="488"/>
      <c r="H18" s="584"/>
      <c r="I18" s="563"/>
      <c r="J18" s="488"/>
      <c r="K18" s="399"/>
      <c r="L18" s="397"/>
      <c r="M18" s="487"/>
      <c r="N18" s="582"/>
      <c r="O18" s="561"/>
      <c r="P18" s="488"/>
      <c r="Q18" s="399"/>
      <c r="R18" s="397"/>
      <c r="S18" s="488"/>
      <c r="T18" s="585"/>
      <c r="U18" s="397"/>
      <c r="V18" s="488"/>
      <c r="W18" s="497"/>
      <c r="X18" s="498"/>
      <c r="Y18" s="488"/>
      <c r="Z18" s="399"/>
      <c r="AA18" s="397"/>
      <c r="AB18" s="488"/>
      <c r="AC18" s="582"/>
      <c r="AD18" s="561"/>
      <c r="AE18" s="488"/>
      <c r="AF18" s="494"/>
      <c r="AG18" s="495"/>
      <c r="AH18" s="488"/>
      <c r="AI18" s="585"/>
      <c r="AJ18" s="397"/>
      <c r="AK18" s="488"/>
      <c r="AL18" s="488"/>
      <c r="AM18" s="488"/>
      <c r="AN18" s="488"/>
      <c r="AO18" s="499"/>
      <c r="AP18" s="499"/>
      <c r="AQ18" s="491"/>
    </row>
    <row r="19" spans="1:43" s="464" customFormat="1" ht="18.75" customHeight="1" x14ac:dyDescent="0.3">
      <c r="A19" s="486" t="s">
        <v>307</v>
      </c>
      <c r="B19" s="383">
        <v>-334.38</v>
      </c>
      <c r="C19" s="381">
        <f>-393.679+21.182</f>
        <v>-372.49699999999996</v>
      </c>
      <c r="D19" s="488">
        <f>IF(B19=0, "    ---- ", IF(ABS(ROUND(100/B19*C19-100,1))&lt;999,ROUND(100/B19*C19-100,1),IF(ROUND(100/B19*C19-100,1)&gt;999,999,-999)))</f>
        <v>11.4</v>
      </c>
      <c r="E19" s="383">
        <v>-7217.7470000000003</v>
      </c>
      <c r="F19" s="381">
        <v>-7008.7926026899995</v>
      </c>
      <c r="G19" s="488">
        <f>IF(E19=0, "    ---- ", IF(ABS(ROUND(100/E19*F19-100,1))&lt;999,ROUND(100/E19*F19-100,1),IF(ROUND(100/E19*F19-100,1)&gt;999,999,-999)))</f>
        <v>-2.9</v>
      </c>
      <c r="H19" s="383">
        <v>-54.2</v>
      </c>
      <c r="I19" s="381">
        <v>-77.683000000000007</v>
      </c>
      <c r="J19" s="488">
        <f>IF(H19=0, "    ---- ", IF(ABS(ROUND(100/H19*I19-100,1))&lt;999,ROUND(100/H19*I19-100,1),IF(ROUND(100/H19*I19-100,1)&gt;999,999,-999)))</f>
        <v>43.3</v>
      </c>
      <c r="K19" s="383">
        <f>-269+9</f>
        <v>-260</v>
      </c>
      <c r="L19" s="381">
        <f>-303.1+19.2</f>
        <v>-283.90000000000003</v>
      </c>
      <c r="M19" s="488">
        <f>IF(K19=0, "    ---- ", IF(ABS(ROUND(100/K19*L19-100,1))&lt;999,ROUND(100/K19*L19-100,1),IF(ROUND(100/K19*L19-100,1)&gt;999,999,-999)))</f>
        <v>9.1999999999999993</v>
      </c>
      <c r="N19" s="383">
        <v>-9</v>
      </c>
      <c r="O19" s="381">
        <v>-5.4179909999999998</v>
      </c>
      <c r="P19" s="488">
        <f>IF(N19=0, "    ---- ", IF(ABS(ROUND(100/N19*O19-100,1))&lt;999,ROUND(100/N19*O19-100,1),IF(ROUND(100/N19*O19-100,1)&gt;999,999,-999)))</f>
        <v>-39.799999999999997</v>
      </c>
      <c r="Q19" s="383">
        <v>-8976.1541849999994</v>
      </c>
      <c r="R19" s="381">
        <v>-9739.5514060000005</v>
      </c>
      <c r="S19" s="488">
        <f>IF(Q19=0, "    ---- ", IF(ABS(ROUND(100/Q19*R19-100,1))&lt;999,ROUND(100/Q19*R19-100,1),IF(ROUND(100/Q19*R19-100,1)&gt;999,999,-999)))</f>
        <v>8.5</v>
      </c>
      <c r="T19" s="566">
        <v>-40.957999999999998</v>
      </c>
      <c r="U19" s="381">
        <v>-44.12</v>
      </c>
      <c r="V19" s="488">
        <f t="shared" si="5"/>
        <v>7.7</v>
      </c>
      <c r="W19" s="383">
        <v>-2644.4</v>
      </c>
      <c r="X19" s="381">
        <v>-2868</v>
      </c>
      <c r="Y19" s="488">
        <f>IF(W19=0, "    ---- ", IF(ABS(ROUND(100/W19*X19-100,1))&lt;999,ROUND(100/W19*X19-100,1),IF(ROUND(100/W19*X19-100,1)&gt;999,999,-999)))</f>
        <v>8.5</v>
      </c>
      <c r="Z19" s="383">
        <v>-1373</v>
      </c>
      <c r="AA19" s="381">
        <v>-1453</v>
      </c>
      <c r="AB19" s="488">
        <f>IF(Z19=0, "    ---- ", IF(ABS(ROUND(100/Z19*AA19-100,1))&lt;999,ROUND(100/Z19*AA19-100,1),IF(ROUND(100/Z19*AA19-100,1)&gt;999,999,-999)))</f>
        <v>5.8</v>
      </c>
      <c r="AC19" s="383">
        <v>-80</v>
      </c>
      <c r="AD19" s="381">
        <v>-103.75107081</v>
      </c>
      <c r="AE19" s="488">
        <f>IF(AC19=0, "    ---- ", IF(ABS(ROUND(100/AC19*AD19-100,1))&lt;999,ROUND(100/AC19*AD19-100,1),IF(ROUND(100/AC19*AD19-100,1)&gt;999,999,-999)))</f>
        <v>29.7</v>
      </c>
      <c r="AF19" s="500">
        <v>-1151.6761705399997</v>
      </c>
      <c r="AG19" s="501">
        <v>-1195.94296605</v>
      </c>
      <c r="AH19" s="488">
        <f>IF(AF19=0, "    ---- ", IF(ABS(ROUND(100/AF19*AG19-100,1))&lt;999,ROUND(100/AF19*AG19-100,1),IF(ROUND(100/AF19*AG19-100,1)&gt;999,999,-999)))</f>
        <v>3.8</v>
      </c>
      <c r="AI19" s="566">
        <f>-5520.8+9.7</f>
        <v>-5511.1</v>
      </c>
      <c r="AJ19" s="381">
        <f>-6424+7</f>
        <v>-6417</v>
      </c>
      <c r="AK19" s="488">
        <f>IF(AI19=0, "    ---- ", IF(ABS(ROUND(100/AI19*AJ19-100,1))&lt;999,ROUND(100/AI19*AJ19-100,1),IF(ROUND(100/AI19*AJ19-100,1)&gt;999,999,-999)))</f>
        <v>16.399999999999999</v>
      </c>
      <c r="AL19" s="488">
        <f t="shared" si="13"/>
        <v>-27563.615355540001</v>
      </c>
      <c r="AM19" s="488">
        <f t="shared" si="13"/>
        <v>-29460.486974739997</v>
      </c>
      <c r="AN19" s="488">
        <f t="shared" si="11"/>
        <v>6.9</v>
      </c>
      <c r="AO19" s="492">
        <f t="shared" ref="AO19:AP21" si="15">+B19+E19+H19+K19+N19+Q19+T19+W19+Z19+AC19+AF19+AI19</f>
        <v>-27652.615355540001</v>
      </c>
      <c r="AP19" s="492">
        <f t="shared" si="15"/>
        <v>-29569.656036550001</v>
      </c>
      <c r="AQ19" s="488">
        <f>IF(AO19=0, "    ---- ", IF(ABS(ROUND(100/AO19*AP19-100,1))&lt;999,ROUND(100/AO19*AP19-100,1),IF(ROUND(100/AO19*AP19-100,1)&gt;999,999,-999)))</f>
        <v>6.9</v>
      </c>
    </row>
    <row r="20" spans="1:43" s="464" customFormat="1" ht="18.75" customHeight="1" x14ac:dyDescent="0.3">
      <c r="A20" s="486" t="s">
        <v>369</v>
      </c>
      <c r="B20" s="404">
        <v>-494.97300000000001</v>
      </c>
      <c r="C20" s="335">
        <v>-373.50799999999998</v>
      </c>
      <c r="D20" s="488">
        <f>IF(B20=0, "    ---- ", IF(ABS(ROUND(100/B20*C20-100,1))&lt;999,ROUND(100/B20*C20-100,1),IF(ROUND(100/B20*C20-100,1)&gt;999,999,-999)))</f>
        <v>-24.5</v>
      </c>
      <c r="E20" s="404">
        <v>-2708.2130000000002</v>
      </c>
      <c r="F20" s="335">
        <v>-1669.50296493</v>
      </c>
      <c r="G20" s="488">
        <f>IF(E20=0, "    ---- ", IF(ABS(ROUND(100/E20*F20-100,1))&lt;999,ROUND(100/E20*F20-100,1),IF(ROUND(100/E20*F20-100,1)&gt;999,999,-999)))</f>
        <v>-38.4</v>
      </c>
      <c r="H20" s="404">
        <v>-90.8</v>
      </c>
      <c r="I20" s="335">
        <v>-52.058</v>
      </c>
      <c r="J20" s="488">
        <f>IF(H20=0, "    ---- ", IF(ABS(ROUND(100/H20*I20-100,1))&lt;999,ROUND(100/H20*I20-100,1),IF(ROUND(100/H20*I20-100,1)&gt;999,999,-999)))</f>
        <v>-42.7</v>
      </c>
      <c r="K20" s="404">
        <v>-759</v>
      </c>
      <c r="L20" s="335">
        <v>-1306.7</v>
      </c>
      <c r="M20" s="488">
        <f>IF(K20=0, "    ---- ", IF(ABS(ROUND(100/K20*L20-100,1))&lt;999,ROUND(100/K20*L20-100,1),IF(ROUND(100/K20*L20-100,1)&gt;999,999,-999)))</f>
        <v>72.2</v>
      </c>
      <c r="N20" s="404"/>
      <c r="O20" s="335"/>
      <c r="P20" s="488"/>
      <c r="Q20" s="404">
        <v>-496.73950100000002</v>
      </c>
      <c r="R20" s="335">
        <v>-288.21158800000001</v>
      </c>
      <c r="S20" s="488">
        <f>IF(Q20=0, "    ---- ", IF(ABS(ROUND(100/Q20*R20-100,1))&lt;999,ROUND(100/Q20*R20-100,1),IF(ROUND(100/Q20*R20-100,1)&gt;999,999,-999)))</f>
        <v>-42</v>
      </c>
      <c r="T20" s="567">
        <v>-56.14</v>
      </c>
      <c r="U20" s="335">
        <v>-44.786999999999999</v>
      </c>
      <c r="V20" s="488">
        <f t="shared" si="5"/>
        <v>-20.2</v>
      </c>
      <c r="W20" s="502">
        <v>-2023.7293609400001</v>
      </c>
      <c r="X20" s="503">
        <v>-1168</v>
      </c>
      <c r="Y20" s="488">
        <f>IF(W20=0, "    ---- ", IF(ABS(ROUND(100/W20*X20-100,1))&lt;999,ROUND(100/W20*X20-100,1),IF(ROUND(100/W20*X20-100,1)&gt;999,999,-999)))</f>
        <v>-42.3</v>
      </c>
      <c r="Z20" s="614"/>
      <c r="AA20" s="503"/>
      <c r="AB20" s="488"/>
      <c r="AC20" s="404">
        <v>-6</v>
      </c>
      <c r="AD20" s="335">
        <v>-10.110462419999999</v>
      </c>
      <c r="AE20" s="488">
        <f>IF(AC20=0, "    ---- ", IF(ABS(ROUND(100/AC20*AD20-100,1))&lt;999,ROUND(100/AC20*AD20-100,1),IF(ROUND(100/AC20*AD20-100,1)&gt;999,999,-999)))</f>
        <v>68.5</v>
      </c>
      <c r="AF20" s="502">
        <v>-388.01367182000001</v>
      </c>
      <c r="AG20" s="503">
        <v>-583.5936601599999</v>
      </c>
      <c r="AH20" s="488">
        <f>IF(AF20=0, "    ---- ", IF(ABS(ROUND(100/AF20*AG20-100,1))&lt;999,ROUND(100/AF20*AG20-100,1),IF(ROUND(100/AF20*AG20-100,1)&gt;999,999,-999)))</f>
        <v>50.4</v>
      </c>
      <c r="AI20" s="567">
        <v>-1616.2</v>
      </c>
      <c r="AJ20" s="335">
        <v>-3095</v>
      </c>
      <c r="AK20" s="488">
        <f>IF(AI20=0, "    ---- ", IF(ABS(ROUND(100/AI20*AJ20-100,1))&lt;999,ROUND(100/AI20*AJ20-100,1),IF(ROUND(100/AI20*AJ20-100,1)&gt;999,999,-999)))</f>
        <v>91.5</v>
      </c>
      <c r="AL20" s="488">
        <f t="shared" si="13"/>
        <v>-8633.8085337600023</v>
      </c>
      <c r="AM20" s="488">
        <f t="shared" si="13"/>
        <v>-8581.3612130900001</v>
      </c>
      <c r="AN20" s="488">
        <f t="shared" si="11"/>
        <v>-0.6</v>
      </c>
      <c r="AO20" s="492">
        <f t="shared" si="15"/>
        <v>-8639.8085337600023</v>
      </c>
      <c r="AP20" s="492">
        <f t="shared" si="15"/>
        <v>-8591.471675509998</v>
      </c>
      <c r="AQ20" s="488">
        <f>IF(AO20=0, "    ---- ", IF(ABS(ROUND(100/AO20*AP20-100,1))&lt;999,ROUND(100/AO20*AP20-100,1),IF(ROUND(100/AO20*AP20-100,1)&gt;999,999,-999)))</f>
        <v>-0.6</v>
      </c>
    </row>
    <row r="21" spans="1:43" s="464" customFormat="1" ht="18.75" customHeight="1" x14ac:dyDescent="0.3">
      <c r="A21" s="486" t="s">
        <v>308</v>
      </c>
      <c r="B21" s="383">
        <v>-829.35300000000007</v>
      </c>
      <c r="C21" s="381">
        <f>SUM(C19:C20)</f>
        <v>-746.00499999999988</v>
      </c>
      <c r="D21" s="488">
        <f>IF(B21=0, "    ---- ", IF(ABS(ROUND(100/B21*C21-100,1))&lt;999,ROUND(100/B21*C21-100,1),IF(ROUND(100/B21*C21-100,1)&gt;999,999,-999)))</f>
        <v>-10</v>
      </c>
      <c r="E21" s="383">
        <v>-9925.9600000000009</v>
      </c>
      <c r="F21" s="381">
        <f>SUM(F19:F20)</f>
        <v>-8678.2955676199999</v>
      </c>
      <c r="G21" s="488">
        <f>IF(E21=0, "    ---- ", IF(ABS(ROUND(100/E21*F21-100,1))&lt;999,ROUND(100/E21*F21-100,1),IF(ROUND(100/E21*F21-100,1)&gt;999,999,-999)))</f>
        <v>-12.6</v>
      </c>
      <c r="H21" s="383">
        <v>-145</v>
      </c>
      <c r="I21" s="381">
        <f>SUM(I19:I20)</f>
        <v>-129.74100000000001</v>
      </c>
      <c r="J21" s="488">
        <f>IF(H21=0, "    ---- ", IF(ABS(ROUND(100/H21*I21-100,1))&lt;999,ROUND(100/H21*I21-100,1),IF(ROUND(100/H21*I21-100,1)&gt;999,999,-999)))</f>
        <v>-10.5</v>
      </c>
      <c r="K21" s="383">
        <f>SUM(K19:K20)</f>
        <v>-1019</v>
      </c>
      <c r="L21" s="381">
        <f>SUM(L19:L20)</f>
        <v>-1590.6000000000001</v>
      </c>
      <c r="M21" s="488">
        <f>IF(K21=0, "    ---- ", IF(ABS(ROUND(100/K21*L21-100,1))&lt;999,ROUND(100/K21*L21-100,1),IF(ROUND(100/K21*L21-100,1)&gt;999,999,-999)))</f>
        <v>56.1</v>
      </c>
      <c r="N21" s="383">
        <v>-9</v>
      </c>
      <c r="O21" s="381">
        <f>SUM(O19:O20)</f>
        <v>-5.4179909999999998</v>
      </c>
      <c r="P21" s="488">
        <f>IF(N21=0, "    ---- ", IF(ABS(ROUND(100/N21*O21-100,1))&lt;999,ROUND(100/N21*O21-100,1),IF(ROUND(100/N21*O21-100,1)&gt;999,999,-999)))</f>
        <v>-39.799999999999997</v>
      </c>
      <c r="Q21" s="383">
        <v>-9472.8936859999994</v>
      </c>
      <c r="R21" s="381">
        <f>SUM(R19:R20)</f>
        <v>-10027.762994000001</v>
      </c>
      <c r="S21" s="488">
        <f>IF(Q21=0, "    ---- ", IF(ABS(ROUND(100/Q21*R21-100,1))&lt;999,ROUND(100/Q21*R21-100,1),IF(ROUND(100/Q21*R21-100,1)&gt;999,999,-999)))</f>
        <v>5.9</v>
      </c>
      <c r="T21" s="566">
        <v>-97.097999999999999</v>
      </c>
      <c r="U21" s="381">
        <f>SUM(U19:U20)</f>
        <v>-88.906999999999996</v>
      </c>
      <c r="V21" s="488">
        <f t="shared" si="5"/>
        <v>-8.4</v>
      </c>
      <c r="W21" s="383">
        <v>-4668.12936094</v>
      </c>
      <c r="X21" s="381">
        <f>SUM(X19:X20)</f>
        <v>-4036</v>
      </c>
      <c r="Y21" s="488">
        <f>IF(W21=0, "    ---- ", IF(ABS(ROUND(100/W21*X21-100,1))&lt;999,ROUND(100/W21*X21-100,1),IF(ROUND(100/W21*X21-100,1)&gt;999,999,-999)))</f>
        <v>-13.5</v>
      </c>
      <c r="Z21" s="383">
        <v>-1373</v>
      </c>
      <c r="AA21" s="381">
        <f>SUM(AA19:AA20)</f>
        <v>-1453</v>
      </c>
      <c r="AB21" s="488">
        <f>IF(Z21=0, "    ---- ", IF(ABS(ROUND(100/Z21*AA21-100,1))&lt;999,ROUND(100/Z21*AA21-100,1),IF(ROUND(100/Z21*AA21-100,1)&gt;999,999,-999)))</f>
        <v>5.8</v>
      </c>
      <c r="AC21" s="383">
        <v>-86</v>
      </c>
      <c r="AD21" s="381">
        <f>SUM(AD19:AD20)</f>
        <v>-113.86153323000001</v>
      </c>
      <c r="AE21" s="488">
        <f>IF(AC21=0, "    ---- ", IF(ABS(ROUND(100/AC21*AD21-100,1))&lt;999,ROUND(100/AC21*AD21-100,1),IF(ROUND(100/AC21*AD21-100,1)&gt;999,999,-999)))</f>
        <v>32.4</v>
      </c>
      <c r="AF21" s="383">
        <v>-1539.6898423599996</v>
      </c>
      <c r="AG21" s="381">
        <f>SUM(AG19:AG20)</f>
        <v>-1779.5366262099999</v>
      </c>
      <c r="AH21" s="488">
        <f>IF(AF21=0, "    ---- ", IF(ABS(ROUND(100/AF21*AG21-100,1))&lt;999,ROUND(100/AF21*AG21-100,1),IF(ROUND(100/AF21*AG21-100,1)&gt;999,999,-999)))</f>
        <v>15.6</v>
      </c>
      <c r="AI21" s="566">
        <f>SUM(AI19:AI20)</f>
        <v>-7127.3</v>
      </c>
      <c r="AJ21" s="381">
        <f>SUM(AJ19:AJ20)</f>
        <v>-9512</v>
      </c>
      <c r="AK21" s="488">
        <f>IF(AI21=0, "    ---- ", IF(ABS(ROUND(100/AI21*AJ21-100,1))&lt;999,ROUND(100/AI21*AJ21-100,1),IF(ROUND(100/AI21*AJ21-100,1)&gt;999,999,-999)))</f>
        <v>33.5</v>
      </c>
      <c r="AL21" s="488">
        <f t="shared" si="13"/>
        <v>-36197.423889300007</v>
      </c>
      <c r="AM21" s="488">
        <f t="shared" si="13"/>
        <v>-38041.848187830001</v>
      </c>
      <c r="AN21" s="488">
        <f t="shared" si="11"/>
        <v>5.0999999999999996</v>
      </c>
      <c r="AO21" s="492">
        <f t="shared" si="15"/>
        <v>-36292.423889300007</v>
      </c>
      <c r="AP21" s="492">
        <f t="shared" si="15"/>
        <v>-38161.127712059999</v>
      </c>
      <c r="AQ21" s="488">
        <f>IF(AO21=0, "    ---- ", IF(ABS(ROUND(100/AO21*AP21-100,1))&lt;999,ROUND(100/AO21*AP21-100,1),IF(ROUND(100/AO21*AP21-100,1)&gt;999,999,-999)))</f>
        <v>5.0999999999999996</v>
      </c>
    </row>
    <row r="22" spans="1:43" s="464" customFormat="1" ht="18.75" customHeight="1" x14ac:dyDescent="0.3">
      <c r="A22" s="486" t="s">
        <v>309</v>
      </c>
      <c r="B22" s="399"/>
      <c r="C22" s="397"/>
      <c r="D22" s="488"/>
      <c r="E22" s="399"/>
      <c r="F22" s="397"/>
      <c r="G22" s="488"/>
      <c r="H22" s="582"/>
      <c r="I22" s="561"/>
      <c r="J22" s="488"/>
      <c r="K22" s="399"/>
      <c r="L22" s="397"/>
      <c r="M22" s="488"/>
      <c r="N22" s="582"/>
      <c r="O22" s="561"/>
      <c r="P22" s="488"/>
      <c r="Q22" s="399"/>
      <c r="R22" s="397"/>
      <c r="S22" s="488"/>
      <c r="T22" s="616"/>
      <c r="U22" s="561"/>
      <c r="V22" s="488"/>
      <c r="W22" s="582"/>
      <c r="X22" s="561"/>
      <c r="Y22" s="488"/>
      <c r="Z22" s="582"/>
      <c r="AA22" s="561"/>
      <c r="AB22" s="488"/>
      <c r="AC22" s="582"/>
      <c r="AD22" s="561"/>
      <c r="AE22" s="488"/>
      <c r="AF22" s="582"/>
      <c r="AG22" s="561"/>
      <c r="AH22" s="488"/>
      <c r="AI22" s="585"/>
      <c r="AJ22" s="397"/>
      <c r="AK22" s="488"/>
      <c r="AL22" s="488"/>
      <c r="AM22" s="488"/>
      <c r="AN22" s="488"/>
      <c r="AO22" s="488"/>
      <c r="AP22" s="488"/>
      <c r="AQ22" s="488"/>
    </row>
    <row r="23" spans="1:43" s="464" customFormat="1" ht="18.75" customHeight="1" x14ac:dyDescent="0.3">
      <c r="A23" s="486" t="s">
        <v>310</v>
      </c>
      <c r="B23" s="404">
        <v>-40.509</v>
      </c>
      <c r="C23" s="335">
        <f>-33.422+6.217</f>
        <v>-27.204999999999998</v>
      </c>
      <c r="D23" s="488">
        <f t="shared" ref="D23:D29" si="16">IF(B23=0, "    ---- ", IF(ABS(ROUND(100/B23*C23-100,1))&lt;999,ROUND(100/B23*C23-100,1),IF(ROUND(100/B23*C23-100,1)&gt;999,999,-999)))</f>
        <v>-32.799999999999997</v>
      </c>
      <c r="E23" s="404">
        <v>1383.384</v>
      </c>
      <c r="F23" s="335">
        <v>1229.1768761400001</v>
      </c>
      <c r="G23" s="488">
        <f t="shared" ref="G23:G29" si="17">IF(E23=0, "    ---- ", IF(ABS(ROUND(100/E23*F23-100,1))&lt;999,ROUND(100/E23*F23-100,1),IF(ROUND(100/E23*F23-100,1)&gt;999,999,-999)))</f>
        <v>-11.1</v>
      </c>
      <c r="H23" s="404">
        <v>-307.10000000000002</v>
      </c>
      <c r="I23" s="335">
        <v>-353.07100000000003</v>
      </c>
      <c r="J23" s="488">
        <f>IF(H23=0, "    ---- ", IF(ABS(ROUND(100/H23*I23-100,1))&lt;999,ROUND(100/H23*I23-100,1),IF(ROUND(100/H23*I23-100,1)&gt;999,999,-999)))</f>
        <v>15</v>
      </c>
      <c r="K23" s="404">
        <f>-285+25-1</f>
        <v>-261</v>
      </c>
      <c r="L23" s="335">
        <f>-303.6+29.9</f>
        <v>-273.70000000000005</v>
      </c>
      <c r="M23" s="488">
        <f t="shared" ref="M23:M31" si="18">IF(K23=0, "    ---- ", IF(ABS(ROUND(100/K23*L23-100,1))&lt;999,ROUND(100/K23*L23-100,1),IF(ROUND(100/K23*L23-100,1)&gt;999,999,-999)))</f>
        <v>4.9000000000000004</v>
      </c>
      <c r="N23" s="404">
        <v>7</v>
      </c>
      <c r="O23" s="335">
        <v>-2.0381300000000002</v>
      </c>
      <c r="P23" s="488"/>
      <c r="Q23" s="404">
        <v>-16286.189625159999</v>
      </c>
      <c r="R23" s="335">
        <v>-15753.763006700001</v>
      </c>
      <c r="S23" s="488">
        <f t="shared" ref="S23:S30" si="19">IF(Q23=0, "    ---- ", IF(ABS(ROUND(100/Q23*R23-100,1))&lt;999,ROUND(100/Q23*R23-100,1),IF(ROUND(100/Q23*R23-100,1)&gt;999,999,-999)))</f>
        <v>-3.3</v>
      </c>
      <c r="T23" s="567">
        <v>-28.42</v>
      </c>
      <c r="U23" s="335">
        <v>-28.248999999999999</v>
      </c>
      <c r="V23" s="488">
        <f t="shared" si="5"/>
        <v>-0.6</v>
      </c>
      <c r="W23" s="404">
        <v>-270.12518500000004</v>
      </c>
      <c r="X23" s="335">
        <v>-241</v>
      </c>
      <c r="Y23" s="488">
        <f t="shared" ref="Y23:Y29" si="20">IF(W23=0, "    ---- ", IF(ABS(ROUND(100/W23*X23-100,1))&lt;999,ROUND(100/W23*X23-100,1),IF(ROUND(100/W23*X23-100,1)&gt;999,999,-999)))</f>
        <v>-10.8</v>
      </c>
      <c r="Z23" s="404">
        <v>-974</v>
      </c>
      <c r="AA23" s="335">
        <v>-1059</v>
      </c>
      <c r="AB23" s="488">
        <f t="shared" ref="AB23:AB29" si="21">IF(Z23=0, "    ---- ", IF(ABS(ROUND(100/Z23*AA23-100,1))&lt;999,ROUND(100/Z23*AA23-100,1),IF(ROUND(100/Z23*AA23-100,1)&gt;999,999,-999)))</f>
        <v>8.6999999999999993</v>
      </c>
      <c r="AC23" s="404"/>
      <c r="AD23" s="335"/>
      <c r="AE23" s="488"/>
      <c r="AF23" s="404">
        <v>-416.27341756000004</v>
      </c>
      <c r="AG23" s="335">
        <v>-591.68923749999988</v>
      </c>
      <c r="AH23" s="488">
        <f t="shared" ref="AH23:AH29" si="22">IF(AF23=0, "    ---- ", IF(ABS(ROUND(100/AF23*AG23-100,1))&lt;999,ROUND(100/AF23*AG23-100,1),IF(ROUND(100/AF23*AG23-100,1)&gt;999,999,-999)))</f>
        <v>42.1</v>
      </c>
      <c r="AI23" s="567">
        <v>-540.4</v>
      </c>
      <c r="AJ23" s="335">
        <v>-407</v>
      </c>
      <c r="AK23" s="488">
        <f t="shared" ref="AK23:AK29" si="23">IF(AI23=0, "    ---- ", IF(ABS(ROUND(100/AI23*AJ23-100,1))&lt;999,ROUND(100/AI23*AJ23-100,1),IF(ROUND(100/AI23*AJ23-100,1)&gt;999,999,-999)))</f>
        <v>-24.7</v>
      </c>
      <c r="AL23" s="488">
        <f t="shared" si="13"/>
        <v>-17740.633227720002</v>
      </c>
      <c r="AM23" s="488">
        <f t="shared" si="13"/>
        <v>-17505.500368060002</v>
      </c>
      <c r="AN23" s="488">
        <f t="shared" si="11"/>
        <v>-1.3</v>
      </c>
      <c r="AO23" s="488"/>
      <c r="AP23" s="488"/>
      <c r="AQ23" s="488"/>
    </row>
    <row r="24" spans="1:43" s="464" customFormat="1" ht="18.75" customHeight="1" x14ac:dyDescent="0.3">
      <c r="A24" s="486" t="s">
        <v>311</v>
      </c>
      <c r="B24" s="404"/>
      <c r="C24" s="335"/>
      <c r="D24" s="488"/>
      <c r="E24" s="404">
        <v>-13.827999999999999</v>
      </c>
      <c r="F24" s="335">
        <v>-7.88619717</v>
      </c>
      <c r="G24" s="488">
        <f t="shared" si="17"/>
        <v>-43</v>
      </c>
      <c r="H24" s="404"/>
      <c r="I24" s="335"/>
      <c r="J24" s="488" t="str">
        <f>IF(H24=0, "    ---- ", IF(ABS(ROUND(100/H24*I24-100,1))&lt;999,ROUND(100/H24*I24-100,1),IF(ROUND(100/H24*I24-100,1)&gt;999,999,-999)))</f>
        <v xml:space="preserve">    ---- </v>
      </c>
      <c r="K24" s="404">
        <v>-1</v>
      </c>
      <c r="L24" s="335">
        <v>-1.1000000000000001</v>
      </c>
      <c r="M24" s="488">
        <f t="shared" si="18"/>
        <v>10</v>
      </c>
      <c r="N24" s="404"/>
      <c r="O24" s="335"/>
      <c r="P24" s="488"/>
      <c r="Q24" s="404">
        <v>20.551272999999998</v>
      </c>
      <c r="R24" s="335">
        <v>15.442897</v>
      </c>
      <c r="S24" s="488">
        <f t="shared" si="19"/>
        <v>-24.9</v>
      </c>
      <c r="T24" s="567">
        <v>6.4000000000000001E-2</v>
      </c>
      <c r="U24" s="335">
        <v>3.9E-2</v>
      </c>
      <c r="V24" s="488">
        <f t="shared" si="5"/>
        <v>-39.1</v>
      </c>
      <c r="W24" s="404">
        <v>23.616607989999999</v>
      </c>
      <c r="X24" s="335">
        <v>48</v>
      </c>
      <c r="Y24" s="488">
        <f t="shared" si="20"/>
        <v>103.2</v>
      </c>
      <c r="Z24" s="404"/>
      <c r="AA24" s="335"/>
      <c r="AB24" s="488" t="str">
        <f t="shared" si="21"/>
        <v xml:space="preserve">    ---- </v>
      </c>
      <c r="AC24" s="404"/>
      <c r="AD24" s="335"/>
      <c r="AE24" s="488"/>
      <c r="AF24" s="404">
        <v>31.253477989999993</v>
      </c>
      <c r="AG24" s="335">
        <v>36.438395469999996</v>
      </c>
      <c r="AH24" s="488">
        <f t="shared" si="22"/>
        <v>16.600000000000001</v>
      </c>
      <c r="AI24" s="567">
        <v>39.5</v>
      </c>
      <c r="AJ24" s="335">
        <v>43</v>
      </c>
      <c r="AK24" s="488">
        <f t="shared" si="23"/>
        <v>8.9</v>
      </c>
      <c r="AL24" s="488">
        <f t="shared" si="13"/>
        <v>100.15735898</v>
      </c>
      <c r="AM24" s="488">
        <f t="shared" si="13"/>
        <v>133.9340953</v>
      </c>
      <c r="AN24" s="488">
        <f t="shared" si="11"/>
        <v>33.700000000000003</v>
      </c>
      <c r="AO24" s="488"/>
      <c r="AP24" s="488"/>
      <c r="AQ24" s="488"/>
    </row>
    <row r="25" spans="1:43" s="464" customFormat="1" ht="18.75" customHeight="1" x14ac:dyDescent="0.3">
      <c r="A25" s="486" t="s">
        <v>312</v>
      </c>
      <c r="B25" s="404">
        <v>4.1219999999999999</v>
      </c>
      <c r="C25" s="335">
        <v>-21.212</v>
      </c>
      <c r="D25" s="488">
        <f t="shared" si="16"/>
        <v>-614.6</v>
      </c>
      <c r="E25" s="404">
        <v>61.521000000000001</v>
      </c>
      <c r="F25" s="335">
        <v>-2816.1369062600002</v>
      </c>
      <c r="G25" s="488">
        <f t="shared" si="17"/>
        <v>-999</v>
      </c>
      <c r="H25" s="404"/>
      <c r="I25" s="335">
        <v>-7.9649999999999999</v>
      </c>
      <c r="J25" s="488"/>
      <c r="K25" s="404">
        <v>45</v>
      </c>
      <c r="L25" s="335">
        <v>-13.6</v>
      </c>
      <c r="M25" s="488">
        <f t="shared" si="18"/>
        <v>-130.19999999999999</v>
      </c>
      <c r="N25" s="404"/>
      <c r="O25" s="335"/>
      <c r="P25" s="488"/>
      <c r="Q25" s="404">
        <v>3835.1801180000002</v>
      </c>
      <c r="R25" s="335">
        <v>-14650.37621925</v>
      </c>
      <c r="S25" s="488">
        <f t="shared" si="19"/>
        <v>-482</v>
      </c>
      <c r="T25" s="567">
        <v>18.082000000000001</v>
      </c>
      <c r="U25" s="335">
        <v>-6.524</v>
      </c>
      <c r="V25" s="488">
        <f t="shared" si="5"/>
        <v>-136.1</v>
      </c>
      <c r="W25" s="404">
        <v>41.333624999999998</v>
      </c>
      <c r="X25" s="335">
        <v>-676</v>
      </c>
      <c r="Y25" s="488">
        <f t="shared" si="20"/>
        <v>-999</v>
      </c>
      <c r="Z25" s="404">
        <v>181</v>
      </c>
      <c r="AA25" s="335">
        <v>-3884</v>
      </c>
      <c r="AB25" s="488">
        <f t="shared" si="21"/>
        <v>-999</v>
      </c>
      <c r="AC25" s="404"/>
      <c r="AD25" s="335"/>
      <c r="AE25" s="488"/>
      <c r="AF25" s="404">
        <v>99.04347073000001</v>
      </c>
      <c r="AG25" s="335">
        <v>-576.25159512000005</v>
      </c>
      <c r="AH25" s="488">
        <f t="shared" si="22"/>
        <v>-681.8</v>
      </c>
      <c r="AI25" s="567">
        <v>987.1</v>
      </c>
      <c r="AJ25" s="335">
        <v>-2895</v>
      </c>
      <c r="AK25" s="488">
        <f t="shared" si="23"/>
        <v>-393.3</v>
      </c>
      <c r="AL25" s="488">
        <f t="shared" si="13"/>
        <v>5272.3822137300003</v>
      </c>
      <c r="AM25" s="488">
        <f t="shared" si="13"/>
        <v>-25547.065720630002</v>
      </c>
      <c r="AN25" s="488">
        <f t="shared" si="11"/>
        <v>-584.5</v>
      </c>
      <c r="AO25" s="488"/>
      <c r="AP25" s="488"/>
      <c r="AQ25" s="488"/>
    </row>
    <row r="26" spans="1:43" s="464" customFormat="1" ht="18.75" customHeight="1" x14ac:dyDescent="0.3">
      <c r="A26" s="486" t="s">
        <v>313</v>
      </c>
      <c r="B26" s="404"/>
      <c r="C26" s="335"/>
      <c r="D26" s="488"/>
      <c r="E26" s="404">
        <v>-10.444000000000001</v>
      </c>
      <c r="F26" s="335">
        <v>-7.4521948399999998</v>
      </c>
      <c r="G26" s="488">
        <f t="shared" si="17"/>
        <v>-28.6</v>
      </c>
      <c r="H26" s="404"/>
      <c r="I26" s="335"/>
      <c r="J26" s="488"/>
      <c r="K26" s="404">
        <v>1</v>
      </c>
      <c r="L26" s="335">
        <v>1.6</v>
      </c>
      <c r="M26" s="488"/>
      <c r="N26" s="404"/>
      <c r="O26" s="335"/>
      <c r="P26" s="488"/>
      <c r="Q26" s="404">
        <v>-149.838256</v>
      </c>
      <c r="R26" s="335">
        <v>-122.68617399999999</v>
      </c>
      <c r="S26" s="488">
        <f t="shared" si="19"/>
        <v>-18.100000000000001</v>
      </c>
      <c r="T26" s="567">
        <v>-0.26</v>
      </c>
      <c r="U26" s="335">
        <v>-0.27900000000000003</v>
      </c>
      <c r="V26" s="488">
        <f t="shared" si="5"/>
        <v>7.3</v>
      </c>
      <c r="W26" s="404">
        <v>-1.5001230000000001</v>
      </c>
      <c r="X26" s="335">
        <v>-2</v>
      </c>
      <c r="Y26" s="488">
        <f t="shared" si="20"/>
        <v>33.299999999999997</v>
      </c>
      <c r="Z26" s="404">
        <v>-22</v>
      </c>
      <c r="AA26" s="335">
        <v>-32</v>
      </c>
      <c r="AB26" s="488">
        <f t="shared" si="21"/>
        <v>45.5</v>
      </c>
      <c r="AC26" s="404"/>
      <c r="AD26" s="335"/>
      <c r="AE26" s="488"/>
      <c r="AF26" s="404">
        <v>-1.9431579999999999</v>
      </c>
      <c r="AG26" s="335">
        <v>-1.4833259999999999</v>
      </c>
      <c r="AH26" s="488">
        <f t="shared" si="22"/>
        <v>-23.7</v>
      </c>
      <c r="AI26" s="567">
        <v>-0.5</v>
      </c>
      <c r="AJ26" s="335"/>
      <c r="AK26" s="488">
        <f t="shared" si="23"/>
        <v>-100</v>
      </c>
      <c r="AL26" s="488">
        <f t="shared" si="13"/>
        <v>-185.48553699999999</v>
      </c>
      <c r="AM26" s="488">
        <f t="shared" si="13"/>
        <v>-164.30069484000001</v>
      </c>
      <c r="AN26" s="488">
        <f t="shared" si="11"/>
        <v>-11.4</v>
      </c>
      <c r="AO26" s="488"/>
      <c r="AP26" s="488"/>
      <c r="AQ26" s="488"/>
    </row>
    <row r="27" spans="1:43" s="464" customFormat="1" ht="18.75" customHeight="1" x14ac:dyDescent="0.3">
      <c r="A27" s="486" t="s">
        <v>314</v>
      </c>
      <c r="B27" s="404">
        <v>-1.948</v>
      </c>
      <c r="C27" s="335">
        <v>-0.84399999999999997</v>
      </c>
      <c r="D27" s="488">
        <f t="shared" si="16"/>
        <v>-56.7</v>
      </c>
      <c r="E27" s="404">
        <v>-185.46799999999999</v>
      </c>
      <c r="F27" s="335">
        <v>-243.23051056</v>
      </c>
      <c r="G27" s="488">
        <f t="shared" si="17"/>
        <v>31.1</v>
      </c>
      <c r="H27" s="404">
        <v>-1</v>
      </c>
      <c r="I27" s="335">
        <v>-1.843</v>
      </c>
      <c r="J27" s="488">
        <f>IF(H27=0, "    ---- ", IF(ABS(ROUND(100/H27*I27-100,1))&lt;999,ROUND(100/H27*I27-100,1),IF(ROUND(100/H27*I27-100,1)&gt;999,999,-999)))</f>
        <v>84.3</v>
      </c>
      <c r="K27" s="404"/>
      <c r="L27" s="335"/>
      <c r="M27" s="488"/>
      <c r="N27" s="404"/>
      <c r="O27" s="335"/>
      <c r="P27" s="488"/>
      <c r="Q27" s="404"/>
      <c r="R27" s="335"/>
      <c r="S27" s="488"/>
      <c r="T27" s="567"/>
      <c r="U27" s="335"/>
      <c r="V27" s="488"/>
      <c r="W27" s="404">
        <v>0</v>
      </c>
      <c r="X27" s="335">
        <v>0</v>
      </c>
      <c r="Y27" s="488" t="str">
        <f t="shared" si="20"/>
        <v xml:space="preserve">    ---- </v>
      </c>
      <c r="Z27" s="404">
        <v>-8</v>
      </c>
      <c r="AA27" s="335">
        <v>-5</v>
      </c>
      <c r="AB27" s="488"/>
      <c r="AC27" s="404"/>
      <c r="AD27" s="335"/>
      <c r="AE27" s="488"/>
      <c r="AF27" s="404">
        <v>0</v>
      </c>
      <c r="AG27" s="335">
        <v>0</v>
      </c>
      <c r="AH27" s="488" t="str">
        <f t="shared" si="22"/>
        <v xml:space="preserve">    ---- </v>
      </c>
      <c r="AI27" s="567">
        <v>21.7</v>
      </c>
      <c r="AJ27" s="335">
        <v>-6</v>
      </c>
      <c r="AK27" s="488">
        <f t="shared" si="23"/>
        <v>-127.6</v>
      </c>
      <c r="AL27" s="488">
        <f t="shared" si="13"/>
        <v>-174.71600000000001</v>
      </c>
      <c r="AM27" s="488">
        <f t="shared" si="13"/>
        <v>-256.91751055999998</v>
      </c>
      <c r="AN27" s="488">
        <f t="shared" si="11"/>
        <v>47</v>
      </c>
      <c r="AO27" s="488"/>
      <c r="AP27" s="488"/>
      <c r="AQ27" s="488"/>
    </row>
    <row r="28" spans="1:43" s="464" customFormat="1" ht="18.75" customHeight="1" x14ac:dyDescent="0.3">
      <c r="A28" s="486" t="s">
        <v>315</v>
      </c>
      <c r="B28" s="404"/>
      <c r="C28" s="335"/>
      <c r="D28" s="488"/>
      <c r="E28" s="404">
        <v>13.878</v>
      </c>
      <c r="F28" s="335">
        <v>10.198288509999999</v>
      </c>
      <c r="G28" s="488">
        <f t="shared" si="17"/>
        <v>-26.5</v>
      </c>
      <c r="H28" s="404"/>
      <c r="I28" s="335"/>
      <c r="J28" s="488"/>
      <c r="K28" s="404"/>
      <c r="L28" s="335"/>
      <c r="M28" s="488" t="str">
        <f t="shared" si="18"/>
        <v xml:space="preserve">    ---- </v>
      </c>
      <c r="N28" s="404"/>
      <c r="O28" s="335"/>
      <c r="P28" s="488"/>
      <c r="Q28" s="404">
        <v>0</v>
      </c>
      <c r="R28" s="335">
        <v>0</v>
      </c>
      <c r="S28" s="488" t="str">
        <f t="shared" si="19"/>
        <v xml:space="preserve">    ---- </v>
      </c>
      <c r="T28" s="567"/>
      <c r="U28" s="335"/>
      <c r="V28" s="488" t="str">
        <f t="shared" si="5"/>
        <v xml:space="preserve">    ---- </v>
      </c>
      <c r="W28" s="404">
        <v>1.825763</v>
      </c>
      <c r="X28" s="335">
        <v>1</v>
      </c>
      <c r="Y28" s="488">
        <f t="shared" si="20"/>
        <v>-45.2</v>
      </c>
      <c r="Z28" s="404"/>
      <c r="AA28" s="335"/>
      <c r="AB28" s="488"/>
      <c r="AC28" s="404"/>
      <c r="AD28" s="335"/>
      <c r="AE28" s="488"/>
      <c r="AF28" s="404">
        <v>3.7576298100000001</v>
      </c>
      <c r="AG28" s="335">
        <v>0</v>
      </c>
      <c r="AH28" s="488">
        <f t="shared" si="22"/>
        <v>-100</v>
      </c>
      <c r="AI28" s="567">
        <v>-7.8</v>
      </c>
      <c r="AJ28" s="335">
        <v>-3</v>
      </c>
      <c r="AK28" s="488">
        <f t="shared" si="23"/>
        <v>-61.5</v>
      </c>
      <c r="AL28" s="488">
        <f t="shared" si="13"/>
        <v>11.661392809999999</v>
      </c>
      <c r="AM28" s="488">
        <f t="shared" si="13"/>
        <v>8.1982885099999994</v>
      </c>
      <c r="AN28" s="488">
        <f t="shared" si="11"/>
        <v>-29.7</v>
      </c>
      <c r="AO28" s="488"/>
      <c r="AP28" s="488"/>
      <c r="AQ28" s="488"/>
    </row>
    <row r="29" spans="1:43" s="464" customFormat="1" ht="18.75" customHeight="1" x14ac:dyDescent="0.3">
      <c r="A29" s="486" t="s">
        <v>316</v>
      </c>
      <c r="B29" s="404">
        <v>-38.335000000000001</v>
      </c>
      <c r="C29" s="335">
        <f>SUM(C23:C28)</f>
        <v>-49.261000000000003</v>
      </c>
      <c r="D29" s="488">
        <f t="shared" si="16"/>
        <v>28.5</v>
      </c>
      <c r="E29" s="404">
        <v>1249.0429999999999</v>
      </c>
      <c r="F29" s="335">
        <f>SUM(F23:F28)</f>
        <v>-1835.33064418</v>
      </c>
      <c r="G29" s="488">
        <f t="shared" si="17"/>
        <v>-246.9</v>
      </c>
      <c r="H29" s="404">
        <v>-308.10000000000002</v>
      </c>
      <c r="I29" s="335">
        <v>-362.87900000000002</v>
      </c>
      <c r="J29" s="488">
        <f>IF(H29=0, "    ---- ", IF(ABS(ROUND(100/H29*I29-100,1))&lt;999,ROUND(100/H29*I29-100,1),IF(ROUND(100/H29*I29-100,1)&gt;999,999,-999)))</f>
        <v>17.8</v>
      </c>
      <c r="K29" s="404">
        <f>SUM(K23:K28)</f>
        <v>-216</v>
      </c>
      <c r="L29" s="335">
        <f>SUM(L23:L28)</f>
        <v>-286.80000000000007</v>
      </c>
      <c r="M29" s="488">
        <f t="shared" si="18"/>
        <v>32.799999999999997</v>
      </c>
      <c r="N29" s="404">
        <v>7</v>
      </c>
      <c r="O29" s="335">
        <f>SUM(O23:O28)</f>
        <v>-2.0381300000000002</v>
      </c>
      <c r="P29" s="488"/>
      <c r="Q29" s="404">
        <v>-12580.296490159999</v>
      </c>
      <c r="R29" s="335">
        <f>SUM(R23:R28)</f>
        <v>-30511.382502949997</v>
      </c>
      <c r="S29" s="488">
        <f t="shared" si="19"/>
        <v>142.5</v>
      </c>
      <c r="T29" s="567">
        <v>-10.534000000000001</v>
      </c>
      <c r="U29" s="335">
        <f>SUM(U23:U28)</f>
        <v>-35.012999999999998</v>
      </c>
      <c r="V29" s="488">
        <f t="shared" si="5"/>
        <v>232.4</v>
      </c>
      <c r="W29" s="404">
        <v>-204.84931201000003</v>
      </c>
      <c r="X29" s="335">
        <f>SUM(X23:X28)</f>
        <v>-870</v>
      </c>
      <c r="Y29" s="488">
        <f t="shared" si="20"/>
        <v>324.7</v>
      </c>
      <c r="Z29" s="404">
        <v>-823</v>
      </c>
      <c r="AA29" s="335">
        <f>SUM(AA23:AA28)</f>
        <v>-4980</v>
      </c>
      <c r="AB29" s="488">
        <f t="shared" si="21"/>
        <v>505.1</v>
      </c>
      <c r="AC29" s="404">
        <v>0</v>
      </c>
      <c r="AD29" s="335">
        <f>SUM(AD23:AD28)</f>
        <v>0</v>
      </c>
      <c r="AE29" s="488"/>
      <c r="AF29" s="404">
        <v>-284.16199702999995</v>
      </c>
      <c r="AG29" s="335">
        <f>SUM(AG23:AG28)</f>
        <v>-1132.9857631499999</v>
      </c>
      <c r="AH29" s="488">
        <f t="shared" si="22"/>
        <v>298.7</v>
      </c>
      <c r="AI29" s="567">
        <f>SUM(AI23:AI28)</f>
        <v>499.6</v>
      </c>
      <c r="AJ29" s="335">
        <f>SUM(AJ23:AJ28)</f>
        <v>-3268</v>
      </c>
      <c r="AK29" s="488">
        <f t="shared" si="23"/>
        <v>-754.1</v>
      </c>
      <c r="AL29" s="488">
        <f t="shared" si="13"/>
        <v>-12716.633799199997</v>
      </c>
      <c r="AM29" s="488">
        <f t="shared" si="13"/>
        <v>-43331.651910279994</v>
      </c>
      <c r="AN29" s="488">
        <f t="shared" si="11"/>
        <v>240.7</v>
      </c>
      <c r="AO29" s="488"/>
      <c r="AP29" s="488"/>
      <c r="AQ29" s="488"/>
    </row>
    <row r="30" spans="1:43" s="464" customFormat="1" ht="18.75" customHeight="1" x14ac:dyDescent="0.3">
      <c r="A30" s="486" t="s">
        <v>317</v>
      </c>
      <c r="B30" s="404">
        <v>-331.56599999999997</v>
      </c>
      <c r="C30" s="335">
        <v>-2199.1959999999999</v>
      </c>
      <c r="D30" s="488">
        <f>IF(B30=0, "    ---- ", IF(ABS(ROUND(100/B30*C30-100,1))&lt;999,ROUND(100/B30*C30-100,1),IF(ROUND(100/B30*C30-100,1)&gt;999,999,-999)))</f>
        <v>563.29999999999995</v>
      </c>
      <c r="E30" s="404">
        <v>-3057.8069999999998</v>
      </c>
      <c r="F30" s="335">
        <v>-12322.565718469999</v>
      </c>
      <c r="G30" s="488">
        <f>IF(E30=0, "    ---- ", IF(ABS(ROUND(100/E30*F30-100,1))&lt;999,ROUND(100/E30*F30-100,1),IF(ROUND(100/E30*F30-100,1)&gt;999,999,-999)))</f>
        <v>303</v>
      </c>
      <c r="H30" s="404">
        <v>-68.599999999999994</v>
      </c>
      <c r="I30" s="335">
        <v>-499.61200000000002</v>
      </c>
      <c r="J30" s="488"/>
      <c r="K30" s="404">
        <v>-1226</v>
      </c>
      <c r="L30" s="335">
        <v>-3121.3</v>
      </c>
      <c r="M30" s="488">
        <f t="shared" si="18"/>
        <v>154.6</v>
      </c>
      <c r="N30" s="404"/>
      <c r="O30" s="335"/>
      <c r="P30" s="488"/>
      <c r="Q30" s="404">
        <v>-64.818033</v>
      </c>
      <c r="R30" s="335">
        <v>-56.519582999999997</v>
      </c>
      <c r="S30" s="488">
        <f t="shared" si="19"/>
        <v>-12.8</v>
      </c>
      <c r="T30" s="567">
        <v>-392.06799999999998</v>
      </c>
      <c r="U30" s="335">
        <v>-850.82500000000005</v>
      </c>
      <c r="V30" s="488">
        <f t="shared" si="5"/>
        <v>117</v>
      </c>
      <c r="W30" s="404">
        <v>-1995</v>
      </c>
      <c r="X30" s="335">
        <v>-9314</v>
      </c>
      <c r="Y30" s="488">
        <f>IF(W30=0, "    ---- ", IF(ABS(ROUND(100/W30*X30-100,1))&lt;999,ROUND(100/W30*X30-100,1),IF(ROUND(100/W30*X30-100,1)&gt;999,999,-999)))</f>
        <v>366.9</v>
      </c>
      <c r="Z30" s="404"/>
      <c r="AA30" s="335"/>
      <c r="AB30" s="488"/>
      <c r="AC30" s="404">
        <v>-81</v>
      </c>
      <c r="AD30" s="335">
        <v>-231.16815184999999</v>
      </c>
      <c r="AE30" s="488">
        <f>IF(AC30=0, "    ---- ", IF(ABS(ROUND(100/AC30*AD30-100,1))&lt;999,ROUND(100/AC30*AD30-100,1),IF(ROUND(100/AC30*AD30-100,1)&gt;999,999,-999)))</f>
        <v>185.4</v>
      </c>
      <c r="AF30" s="404">
        <v>-3077.1189076100004</v>
      </c>
      <c r="AG30" s="335">
        <v>-4648.1738935400008</v>
      </c>
      <c r="AH30" s="488">
        <f>IF(AF30=0, "    ---- ", IF(ABS(ROUND(100/AF30*AG30-100,1))&lt;999,ROUND(100/AF30*AG30-100,1),IF(ROUND(100/AF30*AG30-100,1)&gt;999,999,-999)))</f>
        <v>51.1</v>
      </c>
      <c r="AI30" s="567">
        <v>-4723.2</v>
      </c>
      <c r="AJ30" s="335">
        <v>-10393</v>
      </c>
      <c r="AK30" s="488">
        <f>IF(AI30=0, "    ---- ", IF(ABS(ROUND(100/AI30*AJ30-100,1))&lt;999,ROUND(100/AI30*AJ30-100,1),IF(ROUND(100/AI30*AJ30-100,1)&gt;999,999,-999)))</f>
        <v>120</v>
      </c>
      <c r="AL30" s="488">
        <f t="shared" si="13"/>
        <v>-14936.177940609999</v>
      </c>
      <c r="AM30" s="488">
        <f t="shared" si="13"/>
        <v>-43405.19219501</v>
      </c>
      <c r="AN30" s="488">
        <f t="shared" si="11"/>
        <v>190.6</v>
      </c>
      <c r="AO30" s="488"/>
      <c r="AP30" s="488"/>
      <c r="AQ30" s="488"/>
    </row>
    <row r="31" spans="1:43" s="464" customFormat="1" ht="18.75" customHeight="1" x14ac:dyDescent="0.3">
      <c r="A31" s="486" t="s">
        <v>318</v>
      </c>
      <c r="B31" s="404">
        <v>-1.496</v>
      </c>
      <c r="C31" s="335">
        <v>0</v>
      </c>
      <c r="D31" s="488">
        <f>IF(B31=0, "    ---- ", IF(ABS(ROUND(100/B31*C31-100,1))&lt;999,ROUND(100/B31*C31-100,1),IF(ROUND(100/B31*C31-100,1)&gt;999,999,-999)))</f>
        <v>-100</v>
      </c>
      <c r="E31" s="404">
        <v>-652.52700000000004</v>
      </c>
      <c r="F31" s="335">
        <v>-898.37587041999996</v>
      </c>
      <c r="G31" s="488">
        <f>IF(E31=0, "    ---- ", IF(ABS(ROUND(100/E31*F31-100,1))&lt;999,ROUND(100/E31*F31-100,1),IF(ROUND(100/E31*F31-100,1)&gt;999,999,-999)))</f>
        <v>37.700000000000003</v>
      </c>
      <c r="H31" s="404"/>
      <c r="I31" s="335"/>
      <c r="J31" s="488"/>
      <c r="K31" s="404">
        <v>-73</v>
      </c>
      <c r="L31" s="335">
        <v>-34.9</v>
      </c>
      <c r="M31" s="488">
        <f t="shared" si="18"/>
        <v>-52.2</v>
      </c>
      <c r="N31" s="404"/>
      <c r="O31" s="335"/>
      <c r="P31" s="488"/>
      <c r="Q31" s="404">
        <v>-5151.0326530000002</v>
      </c>
      <c r="R31" s="335">
        <v>-4515.8051569999998</v>
      </c>
      <c r="S31" s="488">
        <f>IF(Q31=0, "    ---- ", IF(ABS(ROUND(100/Q31*R31-100,1))&lt;999,ROUND(100/Q31*R31-100,1),IF(ROUND(100/Q31*R31-100,1)&gt;999,999,-999)))</f>
        <v>-12.3</v>
      </c>
      <c r="T31" s="567">
        <v>-18.835999999999999</v>
      </c>
      <c r="U31" s="335">
        <v>-7.1109999999999998</v>
      </c>
      <c r="V31" s="488"/>
      <c r="W31" s="404">
        <v>-213</v>
      </c>
      <c r="X31" s="335">
        <v>-106</v>
      </c>
      <c r="Y31" s="488">
        <f>IF(W31=0, "    ---- ", IF(ABS(ROUND(100/W31*X31-100,1))&lt;999,ROUND(100/W31*X31-100,1),IF(ROUND(100/W31*X31-100,1)&gt;999,999,-999)))</f>
        <v>-50.2</v>
      </c>
      <c r="Z31" s="404">
        <v>-1081</v>
      </c>
      <c r="AA31" s="335">
        <v>-91</v>
      </c>
      <c r="AB31" s="488">
        <f>IF(Z31=0, "    ---- ", IF(ABS(ROUND(100/Z31*AA31-100,1))&lt;999,ROUND(100/Z31*AA31-100,1),IF(ROUND(100/Z31*AA31-100,1)&gt;999,999,-999)))</f>
        <v>-91.6</v>
      </c>
      <c r="AC31" s="404"/>
      <c r="AD31" s="335"/>
      <c r="AE31" s="488"/>
      <c r="AF31" s="404">
        <v>-183.89815442000003</v>
      </c>
      <c r="AG31" s="335">
        <v>-776.31053051999993</v>
      </c>
      <c r="AH31" s="488">
        <f>IF(AF31=0, "    ---- ", IF(ABS(ROUND(100/AF31*AG31-100,1))&lt;999,ROUND(100/AF31*AG31-100,1),IF(ROUND(100/AF31*AG31-100,1)&gt;999,999,-999)))</f>
        <v>322.10000000000002</v>
      </c>
      <c r="AI31" s="567">
        <v>-678.5</v>
      </c>
      <c r="AJ31" s="335">
        <v>-416</v>
      </c>
      <c r="AK31" s="488">
        <f>IF(AI31=0, "    ---- ", IF(ABS(ROUND(100/AI31*AJ31-100,1))&lt;999,ROUND(100/AI31*AJ31-100,1),IF(ROUND(100/AI31*AJ31-100,1)&gt;999,999,-999)))</f>
        <v>-38.700000000000003</v>
      </c>
      <c r="AL31" s="488">
        <f t="shared" si="13"/>
        <v>-8053.2898074200002</v>
      </c>
      <c r="AM31" s="488">
        <f t="shared" si="13"/>
        <v>-6845.502557939999</v>
      </c>
      <c r="AN31" s="488">
        <f t="shared" si="11"/>
        <v>-15</v>
      </c>
      <c r="AO31" s="488"/>
      <c r="AP31" s="488"/>
      <c r="AQ31" s="488"/>
    </row>
    <row r="32" spans="1:43" s="464" customFormat="1" ht="18.75" customHeight="1" x14ac:dyDescent="0.3">
      <c r="A32" s="486" t="s">
        <v>319</v>
      </c>
      <c r="B32" s="404">
        <v>-102.3</v>
      </c>
      <c r="C32" s="335">
        <v>-107.42400000000001</v>
      </c>
      <c r="D32" s="488">
        <f>IF(B32=0, "    ---- ", IF(ABS(ROUND(100/B32*C32-100,1))&lt;999,ROUND(100/B32*C32-100,1),IF(ROUND(100/B32*C32-100,1)&gt;999,999,-999)))</f>
        <v>5</v>
      </c>
      <c r="E32" s="404">
        <v>-620.41600000000005</v>
      </c>
      <c r="F32" s="335">
        <v>-619.30849464999994</v>
      </c>
      <c r="G32" s="488">
        <f>IF(E32=0, "    ---- ", IF(ABS(ROUND(100/E32*F32-100,1))&lt;999,ROUND(100/E32*F32-100,1),IF(ROUND(100/E32*F32-100,1)&gt;999,999,-999)))</f>
        <v>-0.2</v>
      </c>
      <c r="H32" s="404">
        <v>-121.3</v>
      </c>
      <c r="I32" s="335">
        <v>-133.94399999999999</v>
      </c>
      <c r="J32" s="488">
        <f>IF(H32=0, "    ---- ", IF(ABS(ROUND(100/H32*I32-100,1))&lt;999,ROUND(100/H32*I32-100,1),IF(ROUND(100/H32*I32-100,1)&gt;999,999,-999)))</f>
        <v>10.4</v>
      </c>
      <c r="K32" s="404">
        <v>-120</v>
      </c>
      <c r="L32" s="335">
        <v>-127.3</v>
      </c>
      <c r="M32" s="488">
        <f>IF(K32=0, "    ---- ", IF(ABS(ROUND(100/K32*L32-100,1))&lt;999,ROUND(100/K32*L32-100,1),IF(ROUND(100/K32*L32-100,1)&gt;999,999,-999)))</f>
        <v>6.1</v>
      </c>
      <c r="N32" s="404">
        <v>-5</v>
      </c>
      <c r="O32" s="335">
        <v>-5.3733100800000004</v>
      </c>
      <c r="P32" s="488">
        <f>IF(N32=0, "    ---- ", IF(ABS(ROUND(100/N32*O32-100,1))&lt;999,ROUND(100/N32*O32-100,1),IF(ROUND(100/N32*O32-100,1)&gt;999,999,-999)))</f>
        <v>7.5</v>
      </c>
      <c r="Q32" s="404">
        <v>-545.19942485000001</v>
      </c>
      <c r="R32" s="335">
        <v>-555.96052063000002</v>
      </c>
      <c r="S32" s="488">
        <f>IF(Q32=0, "    ---- ", IF(ABS(ROUND(100/Q32*R32-100,1))&lt;999,ROUND(100/Q32*R32-100,1),IF(ROUND(100/Q32*R32-100,1)&gt;999,999,-999)))</f>
        <v>2</v>
      </c>
      <c r="T32" s="567">
        <v>-35.155000000000001</v>
      </c>
      <c r="U32" s="335">
        <v>-34.747</v>
      </c>
      <c r="V32" s="488">
        <f>IF(T32=0, "    ---- ", IF(ABS(ROUND(100/T32*U32-100,1))&lt;999,ROUND(100/T32*U32-100,1),IF(ROUND(100/T32*U32-100,1)&gt;999,999,-999)))</f>
        <v>-1.2</v>
      </c>
      <c r="W32" s="404">
        <v>-305</v>
      </c>
      <c r="X32" s="335">
        <v>-302</v>
      </c>
      <c r="Y32" s="488">
        <f>IF(W32=0, "    ---- ", IF(ABS(ROUND(100/W32*X32-100,1))&lt;999,ROUND(100/W32*X32-100,1),IF(ROUND(100/W32*X32-100,1)&gt;999,999,-999)))</f>
        <v>-1</v>
      </c>
      <c r="Z32" s="404"/>
      <c r="AA32" s="335"/>
      <c r="AB32" s="488" t="str">
        <f>IF(Z32=0, "    ---- ", IF(ABS(ROUND(100/Z32*AA32-100,1))&lt;999,ROUND(100/Z32*AA32-100,1),IF(ROUND(100/Z32*AA32-100,1)&gt;999,999,-999)))</f>
        <v xml:space="preserve">    ---- </v>
      </c>
      <c r="AC32" s="404">
        <v>-1</v>
      </c>
      <c r="AD32" s="335">
        <v>1.6206158399999999</v>
      </c>
      <c r="AE32" s="488">
        <f>IF(AC32=0, "    ---- ", IF(ABS(ROUND(100/AC32*AD32-100,1))&lt;999,ROUND(100/AC32*AD32-100,1),IF(ROUND(100/AC32*AD32-100,1)&gt;999,999,-999)))</f>
        <v>-262.10000000000002</v>
      </c>
      <c r="AF32" s="404">
        <v>-523.03277101420042</v>
      </c>
      <c r="AG32" s="335">
        <v>-540.88885229149992</v>
      </c>
      <c r="AH32" s="488">
        <f>IF(AF32=0, "    ---- ", IF(ABS(ROUND(100/AF32*AG32-100,1))&lt;999,ROUND(100/AF32*AG32-100,1),IF(ROUND(100/AF32*AG32-100,1)&gt;999,999,-999)))</f>
        <v>3.4</v>
      </c>
      <c r="AI32" s="567">
        <v>-701</v>
      </c>
      <c r="AJ32" s="335">
        <v>-711</v>
      </c>
      <c r="AK32" s="488">
        <f>IF(AI32=0, "    ---- ", IF(ABS(ROUND(100/AI32*AJ32-100,1))&lt;999,ROUND(100/AI32*AJ32-100,1),IF(ROUND(100/AI32*AJ32-100,1)&gt;999,999,-999)))</f>
        <v>1.4</v>
      </c>
      <c r="AL32" s="488">
        <f t="shared" si="13"/>
        <v>-3073.4031958642004</v>
      </c>
      <c r="AM32" s="488">
        <f t="shared" si="13"/>
        <v>-3132.5728675715</v>
      </c>
      <c r="AN32" s="488">
        <f t="shared" si="11"/>
        <v>1.9</v>
      </c>
      <c r="AO32" s="488"/>
      <c r="AP32" s="488"/>
      <c r="AQ32" s="488"/>
    </row>
    <row r="33" spans="1:43" s="504" customFormat="1" ht="18.75" customHeight="1" x14ac:dyDescent="0.3">
      <c r="A33" s="486" t="s">
        <v>320</v>
      </c>
      <c r="B33" s="395"/>
      <c r="C33" s="393"/>
      <c r="D33" s="492"/>
      <c r="E33" s="395">
        <v>10.018000000000001</v>
      </c>
      <c r="F33" s="393">
        <v>-57.051738780000001</v>
      </c>
      <c r="G33" s="492">
        <f>IF(E33=0, "    ---- ", IF(ABS(ROUND(100/E33*F33-100,1))&lt;999,ROUND(100/E33*F33-100,1),IF(ROUND(100/E33*F33-100,1)&gt;999,999,-999)))</f>
        <v>-669.5</v>
      </c>
      <c r="H33" s="395"/>
      <c r="I33" s="393"/>
      <c r="J33" s="492"/>
      <c r="K33" s="395"/>
      <c r="L33" s="393"/>
      <c r="M33" s="492"/>
      <c r="N33" s="395"/>
      <c r="O33" s="393"/>
      <c r="P33" s="492"/>
      <c r="Q33" s="395">
        <v>-514.77226299999995</v>
      </c>
      <c r="R33" s="393">
        <v>-546.04850999999996</v>
      </c>
      <c r="S33" s="492">
        <f>IF(Q33=0, "    ---- ", IF(ABS(ROUND(100/Q33*R33-100,1))&lt;999,ROUND(100/Q33*R33-100,1),IF(ROUND(100/Q33*R33-100,1)&gt;999,999,-999)))</f>
        <v>6.1</v>
      </c>
      <c r="T33" s="568">
        <v>-1.65</v>
      </c>
      <c r="U33" s="393">
        <v>-3.5059999999999998</v>
      </c>
      <c r="V33" s="492">
        <f>IF(T33=0, "    ---- ", IF(ABS(ROUND(100/T33*U33-100,1))&lt;999,ROUND(100/T33*U33-100,1),IF(ROUND(100/T33*U33-100,1)&gt;999,999,-999)))</f>
        <v>112.5</v>
      </c>
      <c r="W33" s="395">
        <v>-8</v>
      </c>
      <c r="X33" s="393">
        <v>-12</v>
      </c>
      <c r="Y33" s="492">
        <f>IF(W33=0, "    ---- ", IF(ABS(ROUND(100/W33*X33-100,1))&lt;999,ROUND(100/W33*X33-100,1),IF(ROUND(100/W33*X33-100,1)&gt;999,999,-999)))</f>
        <v>50</v>
      </c>
      <c r="Z33" s="395">
        <v>-78</v>
      </c>
      <c r="AA33" s="393">
        <v>-82</v>
      </c>
      <c r="AB33" s="492"/>
      <c r="AC33" s="395"/>
      <c r="AD33" s="393"/>
      <c r="AE33" s="492"/>
      <c r="AF33" s="395">
        <v>-3.9999398600000005</v>
      </c>
      <c r="AG33" s="393">
        <v>-3.9996506600000004</v>
      </c>
      <c r="AH33" s="492">
        <f>IF(AF33=0, "    ---- ", IF(ABS(ROUND(100/AF33*AG33-100,1))&lt;999,ROUND(100/AF33*AG33-100,1),IF(ROUND(100/AF33*AG33-100,1)&gt;999,999,-999)))</f>
        <v>0</v>
      </c>
      <c r="AI33" s="568">
        <v>-32.299999999999997</v>
      </c>
      <c r="AJ33" s="393">
        <v>-284.39999999999998</v>
      </c>
      <c r="AK33" s="492">
        <f>IF(AI33=0, "    ---- ", IF(ABS(ROUND(100/AI33*AJ33-100,1))&lt;999,ROUND(100/AI33*AJ33-100,1),IF(ROUND(100/AI33*AJ33-100,1)&gt;999,999,-999)))</f>
        <v>780.5</v>
      </c>
      <c r="AL33" s="488">
        <f t="shared" si="13"/>
        <v>-628.7042028599999</v>
      </c>
      <c r="AM33" s="488">
        <f t="shared" si="13"/>
        <v>-989.00589944000001</v>
      </c>
      <c r="AN33" s="492">
        <f t="shared" si="11"/>
        <v>57.3</v>
      </c>
      <c r="AO33" s="492"/>
      <c r="AP33" s="492"/>
      <c r="AQ33" s="492"/>
    </row>
    <row r="34" spans="1:43" s="507" customFormat="1" ht="18.75" customHeight="1" x14ac:dyDescent="0.3">
      <c r="A34" s="505" t="s">
        <v>321</v>
      </c>
      <c r="B34" s="579">
        <v>21.12599999999992</v>
      </c>
      <c r="C34" s="559">
        <f>SUM(C14+C15+C16+C17+C21+C29+C30+C31+C32+C33)</f>
        <v>48.052000000000106</v>
      </c>
      <c r="D34" s="506">
        <f>IF(B34=0, "    ---- ", IF(ABS(ROUND(100/B34*C34-100,1))&lt;999,ROUND(100/B34*C34-100,1),IF(ROUND(100/B34*C34-100,1)&gt;999,999,-999)))</f>
        <v>127.5</v>
      </c>
      <c r="E34" s="579">
        <v>493.72099999999966</v>
      </c>
      <c r="F34" s="559">
        <f>SUM(F14+F15+F16+F17+F21+F29+F30+F31+F32+F33)</f>
        <v>564.5150649800056</v>
      </c>
      <c r="G34" s="506">
        <f>IF(E34=0, "    ---- ", IF(ABS(ROUND(100/E34*F34-100,1))&lt;999,ROUND(100/E34*F34-100,1),IF(ROUND(100/E34*F34-100,1)&gt;999,999,-999)))</f>
        <v>14.3</v>
      </c>
      <c r="H34" s="579">
        <v>61.499999999999986</v>
      </c>
      <c r="I34" s="559">
        <f>SUM(I14+I15+I16+I17+I21+I29+I30+I31+I32+I33)</f>
        <v>66.441999999999922</v>
      </c>
      <c r="J34" s="506">
        <f>IF(H34=0, "    ---- ", IF(ABS(ROUND(100/H34*I34-100,1))&lt;999,ROUND(100/H34*I34-100,1),IF(ROUND(100/H34*I34-100,1)&gt;999,999,-999)))</f>
        <v>8</v>
      </c>
      <c r="K34" s="579">
        <f>SUM(K14+K15+K16+K17+K21+K29+K30+K31+K32+K33)</f>
        <v>70</v>
      </c>
      <c r="L34" s="559">
        <f>SUM(L14+L15+L16+L17+L21+L29+L30+L31+L32+L33)</f>
        <v>90.759999999999124</v>
      </c>
      <c r="M34" s="506">
        <f>IF(K34=0, "    ---- ", IF(ABS(ROUND(100/K34*L34-100,1))&lt;999,ROUND(100/K34*L34-100,1),IF(ROUND(100/K34*L34-100,1)&gt;999,999,-999)))</f>
        <v>29.7</v>
      </c>
      <c r="N34" s="579">
        <v>12</v>
      </c>
      <c r="O34" s="559">
        <f>SUM(O14+O15+O16+O17+O21+O29+O30+O31+O32+O33)</f>
        <v>5.1890574199999984</v>
      </c>
      <c r="P34" s="506">
        <f>IF(N34=0, "    ---- ", IF(ABS(ROUND(100/N34*O34-100,1))&lt;999,ROUND(100/N34*O34-100,1),IF(ROUND(100/N34*O34-100,1)&gt;999,999,-999)))</f>
        <v>-56.8</v>
      </c>
      <c r="Q34" s="579">
        <v>683.48744666000346</v>
      </c>
      <c r="R34" s="559">
        <f>SUM(R14+R15+R16+R17+R21+R29+R30+R31+R32+R33)</f>
        <v>678.57928873999924</v>
      </c>
      <c r="S34" s="506">
        <f>IF(Q34=0, "    ---- ", IF(ABS(ROUND(100/Q34*R34-100,1))&lt;999,ROUND(100/Q34*R34-100,1),IF(ROUND(100/Q34*R34-100,1)&gt;999,999,-999)))</f>
        <v>-0.7</v>
      </c>
      <c r="T34" s="569">
        <v>-19.757000000000041</v>
      </c>
      <c r="U34" s="559">
        <f>SUM(U14+U15+U16+U17+U21+U29+U30+U31+U32+U33)</f>
        <v>-20.7300000000001</v>
      </c>
      <c r="V34" s="506">
        <f>IF(T34=0, "    ---- ", IF(ABS(ROUND(100/T34*U34-100,1))&lt;999,ROUND(100/T34*U34-100,1),IF(ROUND(100/T34*U34-100,1)&gt;999,999,-999)))</f>
        <v>4.9000000000000004</v>
      </c>
      <c r="W34" s="579">
        <v>266.32132705000004</v>
      </c>
      <c r="X34" s="559">
        <f>SUM(X14+X15+X16+X17+X21+X29+X30+X31+X32+X33)</f>
        <v>293</v>
      </c>
      <c r="Y34" s="506">
        <f>IF(W34=0, "    ---- ", IF(ABS(ROUND(100/W34*X34-100,1))&lt;999,ROUND(100/W34*X34-100,1),IF(ROUND(100/W34*X34-100,1)&gt;999,999,-999)))</f>
        <v>10</v>
      </c>
      <c r="Z34" s="579">
        <v>242</v>
      </c>
      <c r="AA34" s="559">
        <f>SUM(AA14+AA15+AA16+AA17+AA21+AA29+AA30+AA31+AA32+AA33)</f>
        <v>-10</v>
      </c>
      <c r="AB34" s="506">
        <f>IF(Z34=0, "    ---- ", IF(ABS(ROUND(100/Z34*AA34-100,1))&lt;999,ROUND(100/Z34*AA34-100,1),IF(ROUND(100/Z34*AA34-100,1)&gt;999,999,-999)))</f>
        <v>-104.1</v>
      </c>
      <c r="AC34" s="579">
        <v>6</v>
      </c>
      <c r="AD34" s="559">
        <f>SUM(AD14+AD15+AD16+AD17+AD21+AD29+AD30+AD31+AD32+AD33)</f>
        <v>6.8796428399999749</v>
      </c>
      <c r="AE34" s="506">
        <f>IF(AC34=0, "    ---- ", IF(ABS(ROUND(100/AC34*AD34-100,1))&lt;999,ROUND(100/AC34*AD34-100,1),IF(ROUND(100/AC34*AD34-100,1)&gt;999,999,-999)))</f>
        <v>14.7</v>
      </c>
      <c r="AF34" s="579">
        <v>276.41589642579942</v>
      </c>
      <c r="AG34" s="559">
        <f>SUM(AG14+AG15+AG16+AG17+AG21+AG29+AG30+AG31+AG32+AG33)</f>
        <v>299.9631921484991</v>
      </c>
      <c r="AH34" s="506">
        <f>IF(AF34=0, "    ---- ", IF(ABS(ROUND(100/AF34*AG34-100,1))&lt;999,ROUND(100/AF34*AG34-100,1),IF(ROUND(100/AF34*AG34-100,1)&gt;999,999,-999)))</f>
        <v>8.5</v>
      </c>
      <c r="AI34" s="569">
        <f>SUM(AI14+AI15+AI16+AI17+AI21+AI29+AI30+AI31+AI32+AI33)</f>
        <v>813.1000000000015</v>
      </c>
      <c r="AJ34" s="559">
        <f>SUM(AJ14+AJ15+AJ16+AJ17+AJ21+AJ29+AJ30+AJ31+AJ32+AJ33)</f>
        <v>454.1</v>
      </c>
      <c r="AK34" s="506">
        <f>IF(AI34=0, "    ---- ", IF(ABS(ROUND(100/AI34*AJ34-100,1))&lt;999,ROUND(100/AI34*AJ34-100,1),IF(ROUND(100/AI34*AJ34-100,1)&gt;999,999,-999)))</f>
        <v>-44.2</v>
      </c>
      <c r="AL34" s="511">
        <f t="shared" si="13"/>
        <v>2907.914670135804</v>
      </c>
      <c r="AM34" s="511">
        <f t="shared" si="13"/>
        <v>2464.6815458685032</v>
      </c>
      <c r="AN34" s="506">
        <f t="shared" si="11"/>
        <v>-15.2</v>
      </c>
      <c r="AO34" s="506"/>
      <c r="AP34" s="506"/>
      <c r="AQ34" s="506"/>
    </row>
    <row r="35" spans="1:43" s="507" customFormat="1" ht="18.75" customHeight="1" x14ac:dyDescent="0.3">
      <c r="A35" s="508"/>
      <c r="B35" s="509"/>
      <c r="C35" s="510"/>
      <c r="D35" s="511"/>
      <c r="E35" s="509"/>
      <c r="F35" s="510"/>
      <c r="G35" s="511"/>
      <c r="H35" s="509"/>
      <c r="I35" s="510"/>
      <c r="J35" s="511"/>
      <c r="K35" s="509"/>
      <c r="L35" s="510"/>
      <c r="M35" s="511"/>
      <c r="N35" s="603"/>
      <c r="O35" s="510"/>
      <c r="P35" s="511"/>
      <c r="Q35" s="509"/>
      <c r="R35" s="510"/>
      <c r="S35" s="511"/>
      <c r="T35" s="617"/>
      <c r="U35" s="510"/>
      <c r="V35" s="511"/>
      <c r="W35" s="509"/>
      <c r="X35" s="510"/>
      <c r="Y35" s="511"/>
      <c r="Z35" s="603"/>
      <c r="AA35" s="510"/>
      <c r="AB35" s="511"/>
      <c r="AC35" s="603"/>
      <c r="AD35" s="510"/>
      <c r="AE35" s="511"/>
      <c r="AF35" s="509"/>
      <c r="AG35" s="510"/>
      <c r="AH35" s="512"/>
      <c r="AI35" s="509"/>
      <c r="AJ35" s="510"/>
      <c r="AK35" s="512"/>
      <c r="AL35" s="512"/>
      <c r="AM35" s="512"/>
      <c r="AN35" s="512"/>
      <c r="AO35" s="513"/>
      <c r="AP35" s="514"/>
      <c r="AQ35" s="515"/>
    </row>
    <row r="36" spans="1:43" s="507" customFormat="1" ht="18.75" customHeight="1" x14ac:dyDescent="0.3">
      <c r="A36" s="478" t="s">
        <v>322</v>
      </c>
      <c r="B36" s="509"/>
      <c r="C36" s="510"/>
      <c r="D36" s="511"/>
      <c r="E36" s="509"/>
      <c r="F36" s="510"/>
      <c r="G36" s="511"/>
      <c r="H36" s="509"/>
      <c r="I36" s="510"/>
      <c r="J36" s="511"/>
      <c r="K36" s="509"/>
      <c r="L36" s="510"/>
      <c r="M36" s="511"/>
      <c r="N36" s="603"/>
      <c r="O36" s="510"/>
      <c r="P36" s="511"/>
      <c r="Q36" s="509"/>
      <c r="R36" s="510"/>
      <c r="S36" s="511"/>
      <c r="T36" s="617"/>
      <c r="U36" s="510"/>
      <c r="V36" s="511"/>
      <c r="W36" s="509"/>
      <c r="X36" s="510"/>
      <c r="Y36" s="511"/>
      <c r="Z36" s="603"/>
      <c r="AA36" s="510"/>
      <c r="AB36" s="511"/>
      <c r="AC36" s="603"/>
      <c r="AD36" s="510"/>
      <c r="AE36" s="511"/>
      <c r="AF36" s="509"/>
      <c r="AG36" s="510"/>
      <c r="AH36" s="511"/>
      <c r="AI36" s="509"/>
      <c r="AJ36" s="510"/>
      <c r="AK36" s="511"/>
      <c r="AL36" s="511"/>
      <c r="AM36" s="511"/>
      <c r="AN36" s="511"/>
      <c r="AO36" s="516"/>
      <c r="AP36" s="517"/>
      <c r="AQ36" s="518"/>
    </row>
    <row r="37" spans="1:43" s="520" customFormat="1" ht="18.75" customHeight="1" x14ac:dyDescent="0.3">
      <c r="A37" s="486" t="s">
        <v>323</v>
      </c>
      <c r="B37" s="489">
        <v>2.5110000000000001</v>
      </c>
      <c r="C37" s="490">
        <v>4.8460000000000001</v>
      </c>
      <c r="D37" s="488">
        <f t="shared" ref="D37:D43" si="24">IF(B37=0, "    ---- ", IF(ABS(ROUND(100/B37*C37-100,1))&lt;999,ROUND(100/B37*C37-100,1),IF(ROUND(100/B37*C37-100,1)&gt;999,999,-999)))</f>
        <v>93</v>
      </c>
      <c r="E37" s="489">
        <v>322.44200000000001</v>
      </c>
      <c r="F37" s="490">
        <v>543.49844856000004</v>
      </c>
      <c r="G37" s="488">
        <f t="shared" ref="G37:G44" si="25">IF(E37=0, "    ---- ", IF(ABS(ROUND(100/E37*F37-100,1))&lt;999,ROUND(100/E37*F37-100,1),IF(ROUND(100/E37*F37-100,1)&gt;999,999,-999)))</f>
        <v>68.599999999999994</v>
      </c>
      <c r="H37" s="489">
        <v>1.4</v>
      </c>
      <c r="I37" s="490">
        <v>6.4630000000000001</v>
      </c>
      <c r="J37" s="488">
        <f t="shared" ref="J37:J43" si="26">IF(H37=0, "    ---- ", IF(ABS(ROUND(100/H37*I37-100,1))&lt;999,ROUND(100/H37*I37-100,1),IF(ROUND(100/H37*I37-100,1)&gt;999,999,-999)))</f>
        <v>361.6</v>
      </c>
      <c r="K37" s="489">
        <v>6</v>
      </c>
      <c r="L37" s="490">
        <v>8.5</v>
      </c>
      <c r="M37" s="488">
        <f t="shared" ref="M37:M44" si="27">IF(K37=0, "    ---- ", IF(ABS(ROUND(100/K37*L37-100,1))&lt;999,ROUND(100/K37*L37-100,1),IF(ROUND(100/K37*L37-100,1)&gt;999,999,-999)))</f>
        <v>41.7</v>
      </c>
      <c r="N37" s="604">
        <v>1</v>
      </c>
      <c r="O37" s="490">
        <v>1.03291307</v>
      </c>
      <c r="P37" s="488">
        <f t="shared" ref="P37:P43" si="28">IF(N37=0, "    ---- ", IF(ABS(ROUND(100/N37*O37-100,1))&lt;999,ROUND(100/N37*O37-100,1),IF(ROUND(100/N37*O37-100,1)&gt;999,999,-999)))</f>
        <v>3.3</v>
      </c>
      <c r="Q37" s="489">
        <v>769.49413105999997</v>
      </c>
      <c r="R37" s="490">
        <v>955.95338124</v>
      </c>
      <c r="S37" s="488">
        <f t="shared" ref="S37:S44" si="29">IF(Q37=0, "    ---- ", IF(ABS(ROUND(100/Q37*R37-100,1))&lt;999,ROUND(100/Q37*R37-100,1),IF(ROUND(100/Q37*R37-100,1)&gt;999,999,-999)))</f>
        <v>24.2</v>
      </c>
      <c r="T37" s="618">
        <v>2.5750000000000002</v>
      </c>
      <c r="U37" s="490">
        <v>8.6820000000000004</v>
      </c>
      <c r="V37" s="488">
        <f t="shared" ref="V37:V44" si="30">IF(T37=0, "    ---- ", IF(ABS(ROUND(100/T37*U37-100,1))&lt;999,ROUND(100/T37*U37-100,1),IF(ROUND(100/T37*U37-100,1)&gt;999,999,-999)))</f>
        <v>237.2</v>
      </c>
      <c r="W37" s="489">
        <v>26.15</v>
      </c>
      <c r="X37" s="490">
        <v>63</v>
      </c>
      <c r="Y37" s="488">
        <f t="shared" ref="Y37:Y44" si="31">IF(W37=0, "    ---- ", IF(ABS(ROUND(100/W37*X37-100,1))&lt;999,ROUND(100/W37*X37-100,1),IF(ROUND(100/W37*X37-100,1)&gt;999,999,-999)))</f>
        <v>140.9</v>
      </c>
      <c r="Z37" s="604">
        <v>137</v>
      </c>
      <c r="AA37" s="490">
        <v>363</v>
      </c>
      <c r="AB37" s="488">
        <f t="shared" ref="AB37:AB43" si="32">IF(Z37=0, "    ---- ", IF(ABS(ROUND(100/Z37*AA37-100,1))&lt;999,ROUND(100/Z37*AA37-100,1),IF(ROUND(100/Z37*AA37-100,1)&gt;999,999,-999)))</f>
        <v>165</v>
      </c>
      <c r="AC37" s="604"/>
      <c r="AD37" s="490"/>
      <c r="AE37" s="488"/>
      <c r="AF37" s="489">
        <v>68.043130959999999</v>
      </c>
      <c r="AG37" s="490">
        <v>611.92008527999974</v>
      </c>
      <c r="AH37" s="488">
        <f t="shared" ref="AH37:AH44" si="33">IF(AF37=0, "    ---- ", IF(ABS(ROUND(100/AF37*AG37-100,1))&lt;999,ROUND(100/AF37*AG37-100,1),IF(ROUND(100/AF37*AG37-100,1)&gt;999,999,-999)))</f>
        <v>799.3</v>
      </c>
      <c r="AI37" s="489">
        <v>980.2</v>
      </c>
      <c r="AJ37" s="490">
        <v>1112</v>
      </c>
      <c r="AK37" s="488">
        <f t="shared" ref="AK37:AK44" si="34">IF(AI37=0, "    ---- ", IF(ABS(ROUND(100/AI37*AJ37-100,1))&lt;999,ROUND(100/AI37*AJ37-100,1),IF(ROUND(100/AI37*AJ37-100,1)&gt;999,999,-999)))</f>
        <v>13.4</v>
      </c>
      <c r="AL37" s="488">
        <f t="shared" ref="AL37:AM45" si="35">B37+E37+H37+K37+Q37+T37+W37+Z37+AF37+AI37</f>
        <v>2315.8152620200003</v>
      </c>
      <c r="AM37" s="488">
        <f t="shared" si="35"/>
        <v>3677.8629150799998</v>
      </c>
      <c r="AN37" s="488">
        <f t="shared" si="11"/>
        <v>58.8</v>
      </c>
      <c r="AO37" s="491"/>
      <c r="AP37" s="519"/>
      <c r="AQ37" s="493"/>
    </row>
    <row r="38" spans="1:43" s="520" customFormat="1" ht="18.75" customHeight="1" x14ac:dyDescent="0.3">
      <c r="A38" s="486" t="s">
        <v>324</v>
      </c>
      <c r="B38" s="489"/>
      <c r="C38" s="490"/>
      <c r="D38" s="488"/>
      <c r="E38" s="489">
        <v>6.2130000000000001</v>
      </c>
      <c r="F38" s="490">
        <v>5.6557770000000005</v>
      </c>
      <c r="G38" s="488">
        <f t="shared" si="25"/>
        <v>-9</v>
      </c>
      <c r="H38" s="489">
        <v>0.02</v>
      </c>
      <c r="I38" s="490">
        <v>2.7E-2</v>
      </c>
      <c r="J38" s="488">
        <f t="shared" si="26"/>
        <v>35</v>
      </c>
      <c r="K38" s="489"/>
      <c r="L38" s="490"/>
      <c r="M38" s="488" t="str">
        <f t="shared" si="27"/>
        <v xml:space="preserve">    ---- </v>
      </c>
      <c r="N38" s="604"/>
      <c r="O38" s="490"/>
      <c r="P38" s="488"/>
      <c r="Q38" s="489">
        <v>2.6345556400000003</v>
      </c>
      <c r="R38" s="490">
        <v>5.9625397900000001</v>
      </c>
      <c r="S38" s="488">
        <f t="shared" si="29"/>
        <v>126.3</v>
      </c>
      <c r="T38" s="618">
        <v>0.74399999999999999</v>
      </c>
      <c r="U38" s="490">
        <v>2.403</v>
      </c>
      <c r="V38" s="488">
        <f t="shared" si="30"/>
        <v>223</v>
      </c>
      <c r="W38" s="489">
        <v>6.05</v>
      </c>
      <c r="X38" s="490">
        <v>4</v>
      </c>
      <c r="Y38" s="488">
        <f t="shared" si="31"/>
        <v>-33.9</v>
      </c>
      <c r="Z38" s="604">
        <v>4</v>
      </c>
      <c r="AA38" s="490">
        <v>4</v>
      </c>
      <c r="AB38" s="488">
        <f t="shared" si="32"/>
        <v>0</v>
      </c>
      <c r="AC38" s="604"/>
      <c r="AD38" s="490"/>
      <c r="AE38" s="488"/>
      <c r="AF38" s="489">
        <v>1.3060049899999999</v>
      </c>
      <c r="AG38" s="490">
        <v>120.99774829</v>
      </c>
      <c r="AH38" s="488">
        <f t="shared" si="33"/>
        <v>999</v>
      </c>
      <c r="AI38" s="489">
        <v>186.3</v>
      </c>
      <c r="AJ38" s="490">
        <v>11</v>
      </c>
      <c r="AK38" s="488">
        <f t="shared" si="34"/>
        <v>-94.1</v>
      </c>
      <c r="AL38" s="488">
        <f t="shared" si="35"/>
        <v>207.26756063000002</v>
      </c>
      <c r="AM38" s="488">
        <f t="shared" si="35"/>
        <v>154.04606508000001</v>
      </c>
      <c r="AN38" s="488">
        <f t="shared" si="11"/>
        <v>-25.7</v>
      </c>
      <c r="AO38" s="488"/>
      <c r="AP38" s="521"/>
      <c r="AQ38" s="488"/>
    </row>
    <row r="39" spans="1:43" s="520" customFormat="1" ht="18.75" customHeight="1" x14ac:dyDescent="0.3">
      <c r="A39" s="486" t="s">
        <v>325</v>
      </c>
      <c r="B39" s="489"/>
      <c r="C39" s="490"/>
      <c r="D39" s="488"/>
      <c r="E39" s="489">
        <v>-100.682</v>
      </c>
      <c r="F39" s="490">
        <v>-154.61318331999999</v>
      </c>
      <c r="G39" s="488">
        <f t="shared" si="25"/>
        <v>53.6</v>
      </c>
      <c r="H39" s="489"/>
      <c r="I39" s="490"/>
      <c r="J39" s="488" t="str">
        <f t="shared" si="26"/>
        <v xml:space="preserve">    ---- </v>
      </c>
      <c r="K39" s="489">
        <v>-6</v>
      </c>
      <c r="L39" s="490">
        <v>-6.5</v>
      </c>
      <c r="M39" s="488">
        <f t="shared" si="27"/>
        <v>8.3000000000000007</v>
      </c>
      <c r="N39" s="604"/>
      <c r="O39" s="490"/>
      <c r="P39" s="488"/>
      <c r="Q39" s="489">
        <v>-168.24420038999997</v>
      </c>
      <c r="R39" s="490">
        <v>-183.42780712999999</v>
      </c>
      <c r="S39" s="488">
        <f t="shared" si="29"/>
        <v>9</v>
      </c>
      <c r="T39" s="618">
        <v>-0.22500000000000001</v>
      </c>
      <c r="U39" s="490">
        <v>-0.309</v>
      </c>
      <c r="V39" s="488">
        <f t="shared" si="30"/>
        <v>37.299999999999997</v>
      </c>
      <c r="W39" s="489">
        <v>-46.65</v>
      </c>
      <c r="X39" s="490">
        <v>-50.5</v>
      </c>
      <c r="Y39" s="488">
        <f t="shared" si="31"/>
        <v>8.3000000000000007</v>
      </c>
      <c r="Z39" s="604">
        <v>-45</v>
      </c>
      <c r="AA39" s="490">
        <v>-47</v>
      </c>
      <c r="AB39" s="488">
        <f t="shared" si="32"/>
        <v>4.4000000000000004</v>
      </c>
      <c r="AC39" s="604"/>
      <c r="AD39" s="490"/>
      <c r="AE39" s="488"/>
      <c r="AF39" s="489">
        <v>-25.412794345800002</v>
      </c>
      <c r="AG39" s="490">
        <v>-139.77428708849999</v>
      </c>
      <c r="AH39" s="488">
        <f t="shared" si="33"/>
        <v>450</v>
      </c>
      <c r="AI39" s="489">
        <v>-49.1</v>
      </c>
      <c r="AJ39" s="490">
        <v>-205</v>
      </c>
      <c r="AK39" s="488">
        <f t="shared" si="34"/>
        <v>317.5</v>
      </c>
      <c r="AL39" s="488">
        <f t="shared" si="35"/>
        <v>-441.31399473580001</v>
      </c>
      <c r="AM39" s="488">
        <f t="shared" si="35"/>
        <v>-787.1242775385</v>
      </c>
      <c r="AN39" s="488">
        <f t="shared" si="11"/>
        <v>78.400000000000006</v>
      </c>
      <c r="AO39" s="488"/>
      <c r="AP39" s="521"/>
      <c r="AQ39" s="488"/>
    </row>
    <row r="40" spans="1:43" s="523" customFormat="1" ht="18.75" customHeight="1" x14ac:dyDescent="0.3">
      <c r="A40" s="508" t="s">
        <v>326</v>
      </c>
      <c r="B40" s="509">
        <v>2.5110000000000001</v>
      </c>
      <c r="C40" s="510">
        <f>SUM(C37:C39)</f>
        <v>4.8460000000000001</v>
      </c>
      <c r="D40" s="511">
        <f t="shared" si="24"/>
        <v>93</v>
      </c>
      <c r="E40" s="509">
        <v>227.97300000000001</v>
      </c>
      <c r="F40" s="510">
        <f>SUM(F37:F39)</f>
        <v>394.54104224000002</v>
      </c>
      <c r="G40" s="511">
        <f t="shared" si="25"/>
        <v>73.099999999999994</v>
      </c>
      <c r="H40" s="509">
        <v>1.42</v>
      </c>
      <c r="I40" s="510">
        <f>SUM(I37:I39)</f>
        <v>6.49</v>
      </c>
      <c r="J40" s="511">
        <f t="shared" si="26"/>
        <v>357</v>
      </c>
      <c r="K40" s="509">
        <f>SUM(K37:K39)</f>
        <v>0</v>
      </c>
      <c r="L40" s="510">
        <f>SUM(L37:L39)</f>
        <v>2</v>
      </c>
      <c r="M40" s="511" t="str">
        <f t="shared" si="27"/>
        <v xml:space="preserve">    ---- </v>
      </c>
      <c r="N40" s="603">
        <v>1</v>
      </c>
      <c r="O40" s="510">
        <f>SUM(O37:O39)</f>
        <v>1.03291307</v>
      </c>
      <c r="P40" s="511">
        <f t="shared" si="28"/>
        <v>3.3</v>
      </c>
      <c r="Q40" s="509">
        <v>603.88448631000006</v>
      </c>
      <c r="R40" s="510">
        <f>SUM(R37:R39)</f>
        <v>778.48811390000003</v>
      </c>
      <c r="S40" s="511">
        <f t="shared" si="29"/>
        <v>28.9</v>
      </c>
      <c r="T40" s="617">
        <v>3.0939999999999999</v>
      </c>
      <c r="U40" s="510">
        <f>SUM(U37:U39)</f>
        <v>10.776000000000002</v>
      </c>
      <c r="V40" s="511">
        <f t="shared" si="30"/>
        <v>248.3</v>
      </c>
      <c r="W40" s="509">
        <v>-14.450000000000003</v>
      </c>
      <c r="X40" s="510">
        <f>SUM(X37:X39)</f>
        <v>16.5</v>
      </c>
      <c r="Y40" s="511">
        <f t="shared" si="31"/>
        <v>-214.2</v>
      </c>
      <c r="Z40" s="603">
        <v>96</v>
      </c>
      <c r="AA40" s="510">
        <f>SUM(AA37:AA39)</f>
        <v>320</v>
      </c>
      <c r="AB40" s="511">
        <f t="shared" si="32"/>
        <v>233.3</v>
      </c>
      <c r="AC40" s="603">
        <v>0</v>
      </c>
      <c r="AD40" s="510">
        <f>SUM(AD37:AD39)</f>
        <v>0</v>
      </c>
      <c r="AE40" s="511"/>
      <c r="AF40" s="509">
        <v>43.936341604200003</v>
      </c>
      <c r="AG40" s="510">
        <f>SUM(AG37:AG39)</f>
        <v>593.1435464814997</v>
      </c>
      <c r="AH40" s="511">
        <f t="shared" si="33"/>
        <v>999</v>
      </c>
      <c r="AI40" s="509">
        <f>SUM(AI37:AI39)</f>
        <v>1117.4000000000001</v>
      </c>
      <c r="AJ40" s="510">
        <f>SUM(AJ37:AJ39)</f>
        <v>918</v>
      </c>
      <c r="AK40" s="511">
        <f t="shared" si="34"/>
        <v>-17.8</v>
      </c>
      <c r="AL40" s="511">
        <f t="shared" si="35"/>
        <v>2081.7688279142003</v>
      </c>
      <c r="AM40" s="511">
        <f t="shared" si="35"/>
        <v>3044.7847026214999</v>
      </c>
      <c r="AN40" s="511">
        <f t="shared" si="11"/>
        <v>46.3</v>
      </c>
      <c r="AO40" s="511"/>
      <c r="AP40" s="522"/>
      <c r="AQ40" s="511"/>
    </row>
    <row r="41" spans="1:43" s="523" customFormat="1" ht="18.75" customHeight="1" x14ac:dyDescent="0.3">
      <c r="A41" s="508" t="s">
        <v>327</v>
      </c>
      <c r="B41" s="509">
        <v>23.636999999999919</v>
      </c>
      <c r="C41" s="510">
        <f>C34+C40</f>
        <v>52.89800000000011</v>
      </c>
      <c r="D41" s="511">
        <f t="shared" si="24"/>
        <v>123.8</v>
      </c>
      <c r="E41" s="509">
        <v>721.69399999999973</v>
      </c>
      <c r="F41" s="510">
        <f>F34+F40</f>
        <v>959.05610722000563</v>
      </c>
      <c r="G41" s="511">
        <f t="shared" si="25"/>
        <v>32.9</v>
      </c>
      <c r="H41" s="509">
        <v>62.919999999999987</v>
      </c>
      <c r="I41" s="510">
        <f>I34+I40</f>
        <v>72.931999999999917</v>
      </c>
      <c r="J41" s="511">
        <f t="shared" si="26"/>
        <v>15.9</v>
      </c>
      <c r="K41" s="509">
        <f>K34+K40</f>
        <v>70</v>
      </c>
      <c r="L41" s="510">
        <f>L34+L40</f>
        <v>92.759999999999124</v>
      </c>
      <c r="M41" s="511">
        <f t="shared" si="27"/>
        <v>32.5</v>
      </c>
      <c r="N41" s="603">
        <v>13</v>
      </c>
      <c r="O41" s="510">
        <f>O34+O40</f>
        <v>6.2219704899999986</v>
      </c>
      <c r="P41" s="511">
        <f t="shared" si="28"/>
        <v>-52.1</v>
      </c>
      <c r="Q41" s="509">
        <v>1287.3719329700034</v>
      </c>
      <c r="R41" s="510">
        <f>R34+R40</f>
        <v>1457.0674026399993</v>
      </c>
      <c r="S41" s="511">
        <f t="shared" si="29"/>
        <v>13.2</v>
      </c>
      <c r="T41" s="617">
        <v>-16.663000000000039</v>
      </c>
      <c r="U41" s="510">
        <f>U34+U40</f>
        <v>-9.9540000000000983</v>
      </c>
      <c r="V41" s="511">
        <f t="shared" si="30"/>
        <v>-40.299999999999997</v>
      </c>
      <c r="W41" s="509">
        <v>251.87132705000005</v>
      </c>
      <c r="X41" s="510">
        <f>X34+X40</f>
        <v>309.5</v>
      </c>
      <c r="Y41" s="511">
        <f t="shared" si="31"/>
        <v>22.9</v>
      </c>
      <c r="Z41" s="603">
        <v>338</v>
      </c>
      <c r="AA41" s="510">
        <f>AA34+AA40</f>
        <v>310</v>
      </c>
      <c r="AB41" s="511">
        <f t="shared" si="32"/>
        <v>-8.3000000000000007</v>
      </c>
      <c r="AC41" s="603">
        <v>6</v>
      </c>
      <c r="AD41" s="510">
        <f>AD34+AD40</f>
        <v>6.8796428399999749</v>
      </c>
      <c r="AE41" s="511">
        <f>IF(AC41=0, "    ---- ", IF(ABS(ROUND(100/AC41*AD41-100,1))&lt;999,ROUND(100/AC41*AD41-100,1),IF(ROUND(100/AC41*AD41-100,1)&gt;999,999,-999)))</f>
        <v>14.7</v>
      </c>
      <c r="AF41" s="509">
        <v>320.3522380299994</v>
      </c>
      <c r="AG41" s="510">
        <f>AG34+AG40</f>
        <v>893.10673862999874</v>
      </c>
      <c r="AH41" s="511">
        <f t="shared" si="33"/>
        <v>178.8</v>
      </c>
      <c r="AI41" s="509">
        <f>AI34+AI40</f>
        <v>1930.5000000000016</v>
      </c>
      <c r="AJ41" s="510">
        <f>AJ34+AJ40</f>
        <v>1372.1</v>
      </c>
      <c r="AK41" s="511">
        <f t="shared" si="34"/>
        <v>-28.9</v>
      </c>
      <c r="AL41" s="511">
        <f t="shared" si="35"/>
        <v>4989.6834980500043</v>
      </c>
      <c r="AM41" s="511">
        <f t="shared" si="35"/>
        <v>5509.4662484900018</v>
      </c>
      <c r="AN41" s="511">
        <f t="shared" si="11"/>
        <v>10.4</v>
      </c>
      <c r="AO41" s="511"/>
      <c r="AP41" s="522"/>
      <c r="AQ41" s="511"/>
    </row>
    <row r="42" spans="1:43" s="520" customFormat="1" ht="18.75" customHeight="1" x14ac:dyDescent="0.3">
      <c r="A42" s="486" t="s">
        <v>328</v>
      </c>
      <c r="B42" s="489">
        <v>-5.9089999999999998</v>
      </c>
      <c r="C42" s="490">
        <v>-13.224</v>
      </c>
      <c r="D42" s="488">
        <f t="shared" si="24"/>
        <v>123.8</v>
      </c>
      <c r="E42" s="489">
        <v>-120.255</v>
      </c>
      <c r="F42" s="490">
        <v>-222.80438938999998</v>
      </c>
      <c r="G42" s="488">
        <f t="shared" si="25"/>
        <v>85.3</v>
      </c>
      <c r="H42" s="489">
        <v>-16.5</v>
      </c>
      <c r="I42" s="490">
        <v>-14.914999999999999</v>
      </c>
      <c r="J42" s="488">
        <f t="shared" si="26"/>
        <v>-9.6</v>
      </c>
      <c r="K42" s="489">
        <v>-17</v>
      </c>
      <c r="L42" s="490">
        <v>-23.2</v>
      </c>
      <c r="M42" s="488">
        <f t="shared" si="27"/>
        <v>36.5</v>
      </c>
      <c r="N42" s="604">
        <v>-3</v>
      </c>
      <c r="O42" s="490">
        <v>-1.616574</v>
      </c>
      <c r="P42" s="488">
        <f t="shared" si="28"/>
        <v>-46.1</v>
      </c>
      <c r="Q42" s="489">
        <v>-365.28799199999997</v>
      </c>
      <c r="R42" s="490">
        <v>-367.26848247499998</v>
      </c>
      <c r="S42" s="488"/>
      <c r="T42" s="618"/>
      <c r="U42" s="490"/>
      <c r="V42" s="488"/>
      <c r="W42" s="609">
        <v>-63</v>
      </c>
      <c r="X42" s="490">
        <v>-196</v>
      </c>
      <c r="Y42" s="488">
        <f t="shared" si="31"/>
        <v>211.1</v>
      </c>
      <c r="Z42" s="604">
        <v>-70</v>
      </c>
      <c r="AA42" s="490">
        <v>-23</v>
      </c>
      <c r="AB42" s="488">
        <f t="shared" si="32"/>
        <v>-67.099999999999994</v>
      </c>
      <c r="AC42" s="604"/>
      <c r="AD42" s="490">
        <v>-1.5530930000000001</v>
      </c>
      <c r="AE42" s="488"/>
      <c r="AF42" s="489">
        <v>-75.274234449999994</v>
      </c>
      <c r="AG42" s="490">
        <v>-72.213125000000005</v>
      </c>
      <c r="AH42" s="488">
        <f t="shared" si="33"/>
        <v>-4.0999999999999996</v>
      </c>
      <c r="AI42" s="489">
        <v>-183.5</v>
      </c>
      <c r="AJ42" s="490">
        <v>-55</v>
      </c>
      <c r="AK42" s="488">
        <f t="shared" si="34"/>
        <v>-70</v>
      </c>
      <c r="AL42" s="488">
        <f t="shared" si="35"/>
        <v>-916.72622645000001</v>
      </c>
      <c r="AM42" s="488">
        <f t="shared" si="35"/>
        <v>-987.62499686499996</v>
      </c>
      <c r="AN42" s="488">
        <f t="shared" si="11"/>
        <v>7.7</v>
      </c>
      <c r="AO42" s="488"/>
      <c r="AP42" s="521"/>
      <c r="AQ42" s="488"/>
    </row>
    <row r="43" spans="1:43" s="523" customFormat="1" ht="18.75" customHeight="1" x14ac:dyDescent="0.3">
      <c r="A43" s="508" t="s">
        <v>329</v>
      </c>
      <c r="B43" s="509">
        <v>17.72799999999992</v>
      </c>
      <c r="C43" s="510">
        <f>C41+C42</f>
        <v>39.674000000000106</v>
      </c>
      <c r="D43" s="511">
        <f t="shared" si="24"/>
        <v>123.8</v>
      </c>
      <c r="E43" s="509">
        <v>601.43899999999974</v>
      </c>
      <c r="F43" s="510">
        <f>F41+F42</f>
        <v>736.25171783000565</v>
      </c>
      <c r="G43" s="511">
        <f t="shared" si="25"/>
        <v>22.4</v>
      </c>
      <c r="H43" s="509">
        <v>46.419999999999987</v>
      </c>
      <c r="I43" s="510">
        <f>I41+I42</f>
        <v>58.016999999999918</v>
      </c>
      <c r="J43" s="511">
        <f t="shared" si="26"/>
        <v>25</v>
      </c>
      <c r="K43" s="509">
        <f>K41+K42</f>
        <v>53</v>
      </c>
      <c r="L43" s="510">
        <f>L41+L42</f>
        <v>69.559999999999121</v>
      </c>
      <c r="M43" s="511">
        <f t="shared" si="27"/>
        <v>31.2</v>
      </c>
      <c r="N43" s="603">
        <v>10</v>
      </c>
      <c r="O43" s="510">
        <f>O41+O42</f>
        <v>4.6053964899999986</v>
      </c>
      <c r="P43" s="511">
        <f t="shared" si="28"/>
        <v>-53.9</v>
      </c>
      <c r="Q43" s="509">
        <v>922.08394097000337</v>
      </c>
      <c r="R43" s="510">
        <f>R41+R42</f>
        <v>1089.7989201649993</v>
      </c>
      <c r="S43" s="511">
        <f t="shared" si="29"/>
        <v>18.2</v>
      </c>
      <c r="T43" s="617">
        <v>-16.663000000000039</v>
      </c>
      <c r="U43" s="510">
        <f>U41+U42</f>
        <v>-9.9540000000000983</v>
      </c>
      <c r="V43" s="511">
        <f t="shared" si="30"/>
        <v>-40.299999999999997</v>
      </c>
      <c r="W43" s="610">
        <f>W41+W42</f>
        <v>188.87132705000005</v>
      </c>
      <c r="X43" s="510">
        <f>X41+X42</f>
        <v>113.5</v>
      </c>
      <c r="Y43" s="511">
        <f t="shared" si="31"/>
        <v>-39.9</v>
      </c>
      <c r="Z43" s="603">
        <v>268</v>
      </c>
      <c r="AA43" s="510">
        <f>AA41+AA42</f>
        <v>287</v>
      </c>
      <c r="AB43" s="511">
        <f t="shared" si="32"/>
        <v>7.1</v>
      </c>
      <c r="AC43" s="603">
        <v>6</v>
      </c>
      <c r="AD43" s="510">
        <f>AD41+AD42</f>
        <v>5.3265498399999753</v>
      </c>
      <c r="AE43" s="511">
        <f>IF(AC43=0, "    ---- ", IF(ABS(ROUND(100/AC43*AD43-100,1))&lt;999,ROUND(100/AC43*AD43-100,1),IF(ROUND(100/AC43*AD43-100,1)&gt;999,999,-999)))</f>
        <v>-11.2</v>
      </c>
      <c r="AF43" s="509">
        <v>245.0780035799994</v>
      </c>
      <c r="AG43" s="510">
        <f>AG41+AG42</f>
        <v>820.89361362999875</v>
      </c>
      <c r="AH43" s="511">
        <f t="shared" si="33"/>
        <v>235</v>
      </c>
      <c r="AI43" s="509">
        <f>AI41+AI42</f>
        <v>1747.0000000000016</v>
      </c>
      <c r="AJ43" s="510">
        <f>AJ41+AJ42</f>
        <v>1317.1</v>
      </c>
      <c r="AK43" s="511">
        <f t="shared" si="34"/>
        <v>-24.6</v>
      </c>
      <c r="AL43" s="511">
        <f t="shared" si="35"/>
        <v>4072.9572716000039</v>
      </c>
      <c r="AM43" s="511">
        <f t="shared" si="35"/>
        <v>4521.8412516250028</v>
      </c>
      <c r="AN43" s="511">
        <f t="shared" si="11"/>
        <v>11</v>
      </c>
      <c r="AO43" s="511"/>
      <c r="AP43" s="522"/>
      <c r="AQ43" s="511"/>
    </row>
    <row r="44" spans="1:43" s="520" customFormat="1" ht="18.75" customHeight="1" x14ac:dyDescent="0.3">
      <c r="A44" s="486" t="s">
        <v>330</v>
      </c>
      <c r="B44" s="489"/>
      <c r="C44" s="490"/>
      <c r="D44" s="488"/>
      <c r="E44" s="489"/>
      <c r="F44" s="490"/>
      <c r="G44" s="488" t="str">
        <f t="shared" si="25"/>
        <v xml:space="preserve">    ---- </v>
      </c>
      <c r="H44" s="489"/>
      <c r="I44" s="490"/>
      <c r="J44" s="488"/>
      <c r="K44" s="489"/>
      <c r="L44" s="490"/>
      <c r="M44" s="488" t="str">
        <f t="shared" si="27"/>
        <v xml:space="preserve">    ---- </v>
      </c>
      <c r="N44" s="604"/>
      <c r="O44" s="490"/>
      <c r="P44" s="488"/>
      <c r="Q44" s="489">
        <v>0</v>
      </c>
      <c r="R44" s="490">
        <v>-44.931177425000001</v>
      </c>
      <c r="S44" s="488" t="str">
        <f t="shared" si="29"/>
        <v xml:space="preserve">    ---- </v>
      </c>
      <c r="T44" s="618">
        <v>0</v>
      </c>
      <c r="U44" s="490">
        <v>-0.69799999999999995</v>
      </c>
      <c r="V44" s="488" t="str">
        <f t="shared" si="30"/>
        <v xml:space="preserve">    ---- </v>
      </c>
      <c r="W44" s="609">
        <v>9</v>
      </c>
      <c r="X44" s="490">
        <v>-11.5</v>
      </c>
      <c r="Y44" s="488">
        <f t="shared" si="31"/>
        <v>-227.8</v>
      </c>
      <c r="Z44" s="604"/>
      <c r="AA44" s="490"/>
      <c r="AB44" s="488"/>
      <c r="AC44" s="604"/>
      <c r="AD44" s="490"/>
      <c r="AE44" s="488"/>
      <c r="AF44" s="489"/>
      <c r="AG44" s="490"/>
      <c r="AH44" s="488" t="str">
        <f t="shared" si="33"/>
        <v xml:space="preserve">    ---- </v>
      </c>
      <c r="AI44" s="489">
        <v>-36.6</v>
      </c>
      <c r="AJ44" s="490">
        <v>-21</v>
      </c>
      <c r="AK44" s="488">
        <f t="shared" si="34"/>
        <v>-42.6</v>
      </c>
      <c r="AL44" s="488">
        <f t="shared" si="35"/>
        <v>-27.6</v>
      </c>
      <c r="AM44" s="488">
        <f t="shared" si="35"/>
        <v>-78.129177424999995</v>
      </c>
      <c r="AN44" s="488">
        <f t="shared" si="11"/>
        <v>183.1</v>
      </c>
      <c r="AO44" s="488"/>
      <c r="AP44" s="521"/>
      <c r="AQ44" s="488"/>
    </row>
    <row r="45" spans="1:43" s="523" customFormat="1" ht="18.75" customHeight="1" x14ac:dyDescent="0.3">
      <c r="A45" s="505" t="s">
        <v>331</v>
      </c>
      <c r="B45" s="524">
        <v>17.72799999999992</v>
      </c>
      <c r="C45" s="525">
        <f>C43+C44</f>
        <v>39.674000000000106</v>
      </c>
      <c r="D45" s="506">
        <f>IF(B45=0, "    ---- ", IF(ABS(ROUND(100/B45*C45-100,1))&lt;999,ROUND(100/B45*C45-100,1),IF(ROUND(100/B45*C45-100,1)&gt;999,999,-999)))</f>
        <v>123.8</v>
      </c>
      <c r="E45" s="524">
        <v>601.43899999999974</v>
      </c>
      <c r="F45" s="525">
        <f>F43+F44</f>
        <v>736.25171783000565</v>
      </c>
      <c r="G45" s="506">
        <f>IF(E45=0, "    ---- ", IF(ABS(ROUND(100/E45*F45-100,1))&lt;999,ROUND(100/E45*F45-100,1),IF(ROUND(100/E45*F45-100,1)&gt;999,999,-999)))</f>
        <v>22.4</v>
      </c>
      <c r="H45" s="524">
        <v>46.419999999999987</v>
      </c>
      <c r="I45" s="525">
        <f>I43+I44</f>
        <v>58.016999999999918</v>
      </c>
      <c r="J45" s="506">
        <f>IF(H45=0, "    ---- ", IF(ABS(ROUND(100/H45*I45-100,1))&lt;999,ROUND(100/H45*I45-100,1),IF(ROUND(100/H45*I45-100,1)&gt;999,999,-999)))</f>
        <v>25</v>
      </c>
      <c r="K45" s="524">
        <f>K43+K44</f>
        <v>53</v>
      </c>
      <c r="L45" s="525">
        <f>L43+L44</f>
        <v>69.559999999999121</v>
      </c>
      <c r="M45" s="506">
        <f>IF(K45=0, "    ---- ", IF(ABS(ROUND(100/K45*L45-100,1))&lt;999,ROUND(100/K45*L45-100,1),IF(ROUND(100/K45*L45-100,1)&gt;999,999,-999)))</f>
        <v>31.2</v>
      </c>
      <c r="N45" s="605">
        <v>10</v>
      </c>
      <c r="O45" s="525">
        <f>O43+O44</f>
        <v>4.6053964899999986</v>
      </c>
      <c r="P45" s="506">
        <f>IF(N45=0, "    ---- ", IF(ABS(ROUND(100/N45*O45-100,1))&lt;999,ROUND(100/N45*O45-100,1),IF(ROUND(100/N45*O45-100,1)&gt;999,999,-999)))</f>
        <v>-53.9</v>
      </c>
      <c r="Q45" s="524">
        <v>922.08394097000337</v>
      </c>
      <c r="R45" s="525">
        <f>R43+R44</f>
        <v>1044.8677427399994</v>
      </c>
      <c r="S45" s="506">
        <f>IF(Q45=0, "    ---- ", IF(ABS(ROUND(100/Q45*R45-100,1))&lt;999,ROUND(100/Q45*R45-100,1),IF(ROUND(100/Q45*R45-100,1)&gt;999,999,-999)))</f>
        <v>13.3</v>
      </c>
      <c r="T45" s="619">
        <v>-16.663000000000039</v>
      </c>
      <c r="U45" s="525">
        <f>U43+U44</f>
        <v>-10.652000000000099</v>
      </c>
      <c r="V45" s="506">
        <f>IF(T45=0, "    ---- ", IF(ABS(ROUND(100/T45*U45-100,1))&lt;999,ROUND(100/T45*U45-100,1),IF(ROUND(100/T45*U45-100,1)&gt;999,999,-999)))</f>
        <v>-36.1</v>
      </c>
      <c r="W45" s="525">
        <f>W43+W44</f>
        <v>197.87132705000005</v>
      </c>
      <c r="X45" s="525">
        <f>X43+X44</f>
        <v>102</v>
      </c>
      <c r="Y45" s="506">
        <f>IF(W45=0, "    ---- ", IF(ABS(ROUND(100/W45*X45-100,1))&lt;999,ROUND(100/W45*X45-100,1),IF(ROUND(100/W45*X45-100,1)&gt;999,999,-999)))</f>
        <v>-48.5</v>
      </c>
      <c r="Z45" s="605">
        <v>268</v>
      </c>
      <c r="AA45" s="525">
        <f>AA43+AA44</f>
        <v>287</v>
      </c>
      <c r="AB45" s="506">
        <f>IF(Z45=0, "    ---- ", IF(ABS(ROUND(100/Z45*AA45-100,1))&lt;999,ROUND(100/Z45*AA45-100,1),IF(ROUND(100/Z45*AA45-100,1)&gt;999,999,-999)))</f>
        <v>7.1</v>
      </c>
      <c r="AC45" s="605">
        <v>6</v>
      </c>
      <c r="AD45" s="525">
        <f>AD43+AD44</f>
        <v>5.3265498399999753</v>
      </c>
      <c r="AE45" s="506">
        <f>IF(AC45=0, "    ---- ", IF(ABS(ROUND(100/AC45*AD45-100,1))&lt;999,ROUND(100/AC45*AD45-100,1),IF(ROUND(100/AC45*AD45-100,1)&gt;999,999,-999)))</f>
        <v>-11.2</v>
      </c>
      <c r="AF45" s="524">
        <v>245.0780035799994</v>
      </c>
      <c r="AG45" s="525">
        <f>AG43+AG44</f>
        <v>820.89361362999875</v>
      </c>
      <c r="AH45" s="506">
        <f>IF(AF45=0, "    ---- ", IF(ABS(ROUND(100/AF45*AG45-100,1))&lt;999,ROUND(100/AF45*AG45-100,1),IF(ROUND(100/AF45*AG45-100,1)&gt;999,999,-999)))</f>
        <v>235</v>
      </c>
      <c r="AI45" s="524">
        <f>AI43+AI44</f>
        <v>1710.4000000000017</v>
      </c>
      <c r="AJ45" s="525">
        <f>AJ43+AJ44</f>
        <v>1296.0999999999999</v>
      </c>
      <c r="AK45" s="506">
        <f>IF(AI45=0, "    ---- ", IF(ABS(ROUND(100/AI45*AJ45-100,1))&lt;999,ROUND(100/AI45*AJ45-100,1),IF(ROUND(100/AI45*AJ45-100,1)&gt;999,999,-999)))</f>
        <v>-24.2</v>
      </c>
      <c r="AL45" s="511">
        <f t="shared" si="35"/>
        <v>4045.3572716000044</v>
      </c>
      <c r="AM45" s="511">
        <f t="shared" si="35"/>
        <v>4443.7120742000025</v>
      </c>
      <c r="AN45" s="506">
        <f t="shared" si="11"/>
        <v>9.8000000000000007</v>
      </c>
      <c r="AO45" s="526"/>
      <c r="AP45" s="527"/>
      <c r="AQ45" s="528"/>
    </row>
    <row r="46" spans="1:43" s="523" customFormat="1" ht="18.75" customHeight="1" x14ac:dyDescent="0.3">
      <c r="A46" s="529"/>
      <c r="B46" s="530"/>
      <c r="C46" s="530"/>
      <c r="D46" s="531"/>
      <c r="E46" s="530"/>
      <c r="F46" s="530"/>
      <c r="G46" s="512"/>
      <c r="H46" s="530"/>
      <c r="I46" s="530"/>
      <c r="J46" s="512"/>
      <c r="K46" s="530"/>
      <c r="L46" s="530"/>
      <c r="M46" s="531"/>
      <c r="N46" s="530"/>
      <c r="O46" s="530"/>
      <c r="P46" s="512"/>
      <c r="Q46" s="530"/>
      <c r="R46" s="530"/>
      <c r="S46" s="512"/>
      <c r="T46" s="530"/>
      <c r="U46" s="530"/>
      <c r="V46" s="512"/>
      <c r="W46" s="530"/>
      <c r="X46" s="530"/>
      <c r="Y46" s="512"/>
      <c r="Z46" s="530"/>
      <c r="AA46" s="530"/>
      <c r="AB46" s="512"/>
      <c r="AC46" s="530"/>
      <c r="AD46" s="530"/>
      <c r="AE46" s="512"/>
      <c r="AF46" s="530"/>
      <c r="AG46" s="530"/>
      <c r="AH46" s="512"/>
      <c r="AI46" s="530"/>
      <c r="AJ46" s="530"/>
      <c r="AK46" s="512"/>
      <c r="AL46" s="531"/>
      <c r="AM46" s="531"/>
      <c r="AN46" s="512"/>
      <c r="AO46" s="532"/>
      <c r="AP46" s="532"/>
      <c r="AQ46" s="533"/>
    </row>
    <row r="47" spans="1:43" s="534" customFormat="1" ht="18.75" customHeight="1" x14ac:dyDescent="0.3">
      <c r="A47" s="556" t="s">
        <v>332</v>
      </c>
      <c r="B47" s="580"/>
      <c r="C47" s="580"/>
      <c r="D47" s="556"/>
      <c r="E47" s="580"/>
      <c r="F47" s="580"/>
      <c r="G47" s="556"/>
      <c r="H47" s="580"/>
      <c r="I47" s="580"/>
      <c r="J47" s="556"/>
      <c r="K47" s="580"/>
      <c r="L47" s="580"/>
      <c r="M47" s="556"/>
      <c r="N47" s="580"/>
      <c r="O47" s="580"/>
      <c r="P47" s="556"/>
      <c r="Q47" s="580"/>
      <c r="R47" s="580"/>
      <c r="S47" s="556"/>
      <c r="T47" s="580"/>
      <c r="U47" s="580"/>
      <c r="V47" s="556"/>
      <c r="W47" s="580"/>
      <c r="X47" s="580"/>
      <c r="Y47" s="556"/>
      <c r="Z47" s="580"/>
      <c r="AA47" s="580"/>
      <c r="AB47" s="556"/>
      <c r="AC47" s="580"/>
      <c r="AD47" s="580"/>
      <c r="AE47" s="556"/>
      <c r="AF47" s="580"/>
      <c r="AG47" s="580"/>
      <c r="AH47" s="556"/>
      <c r="AI47" s="580"/>
      <c r="AJ47" s="580"/>
      <c r="AK47" s="556"/>
      <c r="AL47" s="556"/>
      <c r="AM47" s="556"/>
      <c r="AN47" s="556"/>
      <c r="AO47" s="556"/>
      <c r="AP47" s="556"/>
      <c r="AQ47" s="556"/>
    </row>
    <row r="48" spans="1:43" s="535" customFormat="1" ht="18.75" customHeight="1" x14ac:dyDescent="0.3">
      <c r="A48" s="556" t="s">
        <v>333</v>
      </c>
      <c r="B48" s="580"/>
      <c r="C48" s="580"/>
      <c r="D48" s="556"/>
      <c r="E48" s="580"/>
      <c r="F48" s="580"/>
      <c r="G48" s="556"/>
      <c r="H48" s="580"/>
      <c r="I48" s="580"/>
      <c r="J48" s="556"/>
      <c r="K48" s="580"/>
      <c r="L48" s="580"/>
      <c r="M48" s="556"/>
      <c r="N48" s="580"/>
      <c r="O48" s="580"/>
      <c r="P48" s="556"/>
      <c r="Q48" s="580"/>
      <c r="R48" s="580"/>
      <c r="S48" s="556"/>
      <c r="T48" s="580"/>
      <c r="U48" s="580"/>
      <c r="V48" s="556"/>
      <c r="W48" s="580"/>
      <c r="X48" s="580"/>
      <c r="Y48" s="556"/>
      <c r="Z48" s="580"/>
      <c r="AA48" s="580"/>
      <c r="AB48" s="556"/>
      <c r="AC48" s="580"/>
      <c r="AD48" s="580"/>
      <c r="AE48" s="556"/>
      <c r="AF48" s="580"/>
      <c r="AG48" s="580"/>
      <c r="AH48" s="556"/>
      <c r="AI48" s="580"/>
      <c r="AJ48" s="580"/>
      <c r="AK48" s="556"/>
      <c r="AL48" s="556"/>
      <c r="AM48" s="556"/>
      <c r="AN48" s="556"/>
      <c r="AO48" s="556"/>
      <c r="AP48" s="556"/>
      <c r="AQ48" s="556"/>
    </row>
    <row r="49" spans="1:43" s="535" customFormat="1" ht="18.75" customHeight="1" x14ac:dyDescent="0.3">
      <c r="A49" s="556" t="s">
        <v>334</v>
      </c>
      <c r="B49" s="580"/>
      <c r="C49" s="580"/>
      <c r="D49" s="556"/>
      <c r="E49" s="580"/>
      <c r="F49" s="580"/>
      <c r="G49" s="556"/>
      <c r="H49" s="580"/>
      <c r="I49" s="580"/>
      <c r="J49" s="556"/>
      <c r="K49" s="580"/>
      <c r="L49" s="580"/>
      <c r="M49" s="556"/>
      <c r="N49" s="580"/>
      <c r="O49" s="580"/>
      <c r="P49" s="556"/>
      <c r="Q49" s="580"/>
      <c r="R49" s="580"/>
      <c r="S49" s="556"/>
      <c r="T49" s="580"/>
      <c r="U49" s="580"/>
      <c r="V49" s="556"/>
      <c r="W49" s="580"/>
      <c r="X49" s="580"/>
      <c r="Y49" s="556"/>
      <c r="Z49" s="580"/>
      <c r="AA49" s="580"/>
      <c r="AB49" s="556"/>
      <c r="AC49" s="580"/>
      <c r="AD49" s="580"/>
      <c r="AE49" s="556"/>
      <c r="AF49" s="580"/>
      <c r="AG49" s="580"/>
      <c r="AH49" s="556"/>
      <c r="AI49" s="580"/>
      <c r="AJ49" s="580"/>
      <c r="AK49" s="556"/>
      <c r="AL49" s="556"/>
      <c r="AM49" s="556"/>
      <c r="AN49" s="556"/>
      <c r="AO49" s="556"/>
      <c r="AP49" s="556"/>
      <c r="AQ49" s="556"/>
    </row>
    <row r="50" spans="1:43" s="535" customFormat="1" ht="18.75" customHeight="1" x14ac:dyDescent="0.3">
      <c r="A50" s="556" t="s">
        <v>335</v>
      </c>
      <c r="B50" s="580"/>
      <c r="C50" s="580"/>
      <c r="D50" s="556"/>
      <c r="E50" s="580"/>
      <c r="F50" s="580"/>
      <c r="G50" s="556"/>
      <c r="H50" s="580"/>
      <c r="I50" s="580"/>
      <c r="J50" s="556"/>
      <c r="K50" s="580"/>
      <c r="L50" s="580"/>
      <c r="M50" s="556"/>
      <c r="N50" s="580"/>
      <c r="O50" s="580"/>
      <c r="P50" s="556"/>
      <c r="Q50" s="580"/>
      <c r="R50" s="580"/>
      <c r="S50" s="556"/>
      <c r="T50" s="580"/>
      <c r="U50" s="580"/>
      <c r="V50" s="556"/>
      <c r="W50" s="580"/>
      <c r="X50" s="580"/>
      <c r="Y50" s="556"/>
      <c r="Z50" s="580"/>
      <c r="AA50" s="580"/>
      <c r="AB50" s="556"/>
      <c r="AC50" s="580"/>
      <c r="AD50" s="580"/>
      <c r="AE50" s="556"/>
      <c r="AF50" s="580"/>
      <c r="AG50" s="580"/>
      <c r="AH50" s="556"/>
      <c r="AI50" s="580"/>
      <c r="AJ50" s="580"/>
      <c r="AK50" s="556"/>
      <c r="AL50" s="556"/>
      <c r="AM50" s="556"/>
      <c r="AN50" s="556"/>
      <c r="AO50" s="556"/>
      <c r="AP50" s="556"/>
      <c r="AQ50" s="556"/>
    </row>
    <row r="51" spans="1:43" s="535" customFormat="1" ht="18.75" customHeight="1" x14ac:dyDescent="0.3">
      <c r="A51" s="556" t="s">
        <v>336</v>
      </c>
      <c r="B51" s="580"/>
      <c r="C51" s="580"/>
      <c r="D51" s="556"/>
      <c r="E51" s="580"/>
      <c r="F51" s="580"/>
      <c r="G51" s="556"/>
      <c r="H51" s="580"/>
      <c r="I51" s="580"/>
      <c r="J51" s="556"/>
      <c r="K51" s="580"/>
      <c r="L51" s="580"/>
      <c r="M51" s="556"/>
      <c r="N51" s="580"/>
      <c r="O51" s="580"/>
      <c r="P51" s="556"/>
      <c r="Q51" s="580"/>
      <c r="R51" s="580"/>
      <c r="S51" s="556"/>
      <c r="T51" s="580"/>
      <c r="U51" s="580"/>
      <c r="V51" s="556"/>
      <c r="W51" s="580"/>
      <c r="X51" s="580"/>
      <c r="Y51" s="556"/>
      <c r="Z51" s="580"/>
      <c r="AA51" s="580"/>
      <c r="AB51" s="556"/>
      <c r="AC51" s="580"/>
      <c r="AD51" s="580"/>
      <c r="AE51" s="556"/>
      <c r="AF51" s="580"/>
      <c r="AG51" s="580"/>
      <c r="AH51" s="556"/>
      <c r="AI51" s="580"/>
      <c r="AJ51" s="580"/>
      <c r="AK51" s="556"/>
      <c r="AL51" s="556"/>
      <c r="AM51" s="556"/>
      <c r="AN51" s="556"/>
      <c r="AO51" s="556"/>
      <c r="AP51" s="556"/>
      <c r="AQ51" s="556"/>
    </row>
    <row r="52" spans="1:43" s="535" customFormat="1" ht="18.75" customHeight="1" x14ac:dyDescent="0.3">
      <c r="A52" s="556" t="s">
        <v>337</v>
      </c>
      <c r="B52" s="580"/>
      <c r="C52" s="580"/>
      <c r="D52" s="556"/>
      <c r="E52" s="580"/>
      <c r="F52" s="580"/>
      <c r="G52" s="556"/>
      <c r="H52" s="580"/>
      <c r="I52" s="580"/>
      <c r="J52" s="556"/>
      <c r="K52" s="580"/>
      <c r="L52" s="580"/>
      <c r="M52" s="556"/>
      <c r="N52" s="580"/>
      <c r="O52" s="580"/>
      <c r="P52" s="556"/>
      <c r="Q52" s="580"/>
      <c r="R52" s="580"/>
      <c r="S52" s="556"/>
      <c r="T52" s="580"/>
      <c r="U52" s="580"/>
      <c r="V52" s="556"/>
      <c r="W52" s="580"/>
      <c r="X52" s="580"/>
      <c r="Y52" s="556"/>
      <c r="Z52" s="580"/>
      <c r="AA52" s="580"/>
      <c r="AB52" s="556"/>
      <c r="AC52" s="580"/>
      <c r="AD52" s="580"/>
      <c r="AE52" s="556"/>
      <c r="AF52" s="580"/>
      <c r="AG52" s="580"/>
      <c r="AH52" s="556"/>
      <c r="AI52" s="580"/>
      <c r="AJ52" s="580"/>
      <c r="AK52" s="556"/>
      <c r="AL52" s="556"/>
      <c r="AM52" s="556"/>
      <c r="AN52" s="556"/>
      <c r="AO52" s="556"/>
      <c r="AP52" s="556"/>
      <c r="AQ52" s="556"/>
    </row>
    <row r="53" spans="1:43" s="535" customFormat="1" ht="18.75" customHeight="1" x14ac:dyDescent="0.3">
      <c r="A53" s="556" t="s">
        <v>338</v>
      </c>
      <c r="B53" s="580"/>
      <c r="C53" s="580"/>
      <c r="D53" s="556"/>
      <c r="E53" s="580"/>
      <c r="F53" s="580"/>
      <c r="G53" s="556"/>
      <c r="H53" s="580"/>
      <c r="I53" s="580"/>
      <c r="J53" s="556"/>
      <c r="K53" s="580"/>
      <c r="L53" s="580"/>
      <c r="M53" s="556"/>
      <c r="N53" s="580"/>
      <c r="O53" s="580"/>
      <c r="P53" s="556"/>
      <c r="Q53" s="580"/>
      <c r="R53" s="580"/>
      <c r="S53" s="556"/>
      <c r="T53" s="580"/>
      <c r="U53" s="580"/>
      <c r="V53" s="556"/>
      <c r="W53" s="580"/>
      <c r="X53" s="580"/>
      <c r="Y53" s="556"/>
      <c r="Z53" s="580"/>
      <c r="AA53" s="580"/>
      <c r="AB53" s="556"/>
      <c r="AC53" s="580"/>
      <c r="AD53" s="580"/>
      <c r="AE53" s="556"/>
      <c r="AF53" s="580"/>
      <c r="AG53" s="580"/>
      <c r="AH53" s="556"/>
      <c r="AI53" s="580"/>
      <c r="AJ53" s="580"/>
      <c r="AK53" s="556"/>
      <c r="AL53" s="556"/>
      <c r="AM53" s="556"/>
      <c r="AN53" s="556"/>
      <c r="AO53" s="556"/>
      <c r="AP53" s="556"/>
      <c r="AQ53" s="556"/>
    </row>
    <row r="54" spans="1:43" s="535" customFormat="1" ht="18.75" customHeight="1" x14ac:dyDescent="0.3">
      <c r="A54" s="556" t="s">
        <v>339</v>
      </c>
      <c r="B54" s="580"/>
      <c r="C54" s="580"/>
      <c r="D54" s="556"/>
      <c r="E54" s="580"/>
      <c r="F54" s="580"/>
      <c r="G54" s="556"/>
      <c r="H54" s="580"/>
      <c r="I54" s="580"/>
      <c r="J54" s="556"/>
      <c r="K54" s="580"/>
      <c r="L54" s="580"/>
      <c r="M54" s="556"/>
      <c r="N54" s="580"/>
      <c r="O54" s="580"/>
      <c r="P54" s="556"/>
      <c r="Q54" s="580"/>
      <c r="R54" s="580"/>
      <c r="S54" s="556"/>
      <c r="T54" s="580"/>
      <c r="U54" s="580"/>
      <c r="V54" s="556"/>
      <c r="W54" s="580"/>
      <c r="X54" s="580"/>
      <c r="Y54" s="556"/>
      <c r="Z54" s="580"/>
      <c r="AA54" s="580"/>
      <c r="AB54" s="556"/>
      <c r="AC54" s="580"/>
      <c r="AD54" s="580"/>
      <c r="AE54" s="556"/>
      <c r="AF54" s="580"/>
      <c r="AG54" s="580"/>
      <c r="AH54" s="556"/>
      <c r="AI54" s="580"/>
      <c r="AJ54" s="580"/>
      <c r="AK54" s="556"/>
      <c r="AL54" s="556"/>
      <c r="AM54" s="556"/>
      <c r="AN54" s="556"/>
      <c r="AO54" s="556"/>
      <c r="AP54" s="556"/>
      <c r="AQ54" s="556"/>
    </row>
    <row r="55" spans="1:43" s="535" customFormat="1" ht="18.75" customHeight="1" x14ac:dyDescent="0.3">
      <c r="A55" s="556" t="s">
        <v>340</v>
      </c>
      <c r="B55" s="580"/>
      <c r="C55" s="580"/>
      <c r="D55" s="556"/>
      <c r="E55" s="580"/>
      <c r="F55" s="580"/>
      <c r="G55" s="556"/>
      <c r="H55" s="580"/>
      <c r="I55" s="580"/>
      <c r="J55" s="556"/>
      <c r="K55" s="580"/>
      <c r="L55" s="580"/>
      <c r="M55" s="556"/>
      <c r="N55" s="580"/>
      <c r="O55" s="580"/>
      <c r="P55" s="556"/>
      <c r="Q55" s="580"/>
      <c r="R55" s="580"/>
      <c r="S55" s="556"/>
      <c r="T55" s="580"/>
      <c r="U55" s="580"/>
      <c r="V55" s="556"/>
      <c r="W55" s="580"/>
      <c r="X55" s="580"/>
      <c r="Y55" s="556"/>
      <c r="Z55" s="580"/>
      <c r="AA55" s="580"/>
      <c r="AB55" s="556"/>
      <c r="AC55" s="580"/>
      <c r="AD55" s="580"/>
      <c r="AE55" s="556"/>
      <c r="AF55" s="580"/>
      <c r="AG55" s="580"/>
      <c r="AH55" s="556"/>
      <c r="AI55" s="580"/>
      <c r="AJ55" s="580"/>
      <c r="AK55" s="556"/>
      <c r="AL55" s="556"/>
      <c r="AM55" s="556"/>
      <c r="AN55" s="556"/>
      <c r="AO55" s="556"/>
      <c r="AP55" s="556"/>
      <c r="AQ55" s="556"/>
    </row>
    <row r="56" spans="1:43" s="535" customFormat="1" ht="18.75" customHeight="1" x14ac:dyDescent="0.3">
      <c r="A56" s="556" t="s">
        <v>341</v>
      </c>
      <c r="B56" s="580"/>
      <c r="C56" s="580"/>
      <c r="D56" s="556"/>
      <c r="E56" s="580"/>
      <c r="F56" s="580"/>
      <c r="G56" s="556"/>
      <c r="H56" s="580"/>
      <c r="I56" s="580"/>
      <c r="J56" s="556"/>
      <c r="K56" s="580"/>
      <c r="L56" s="580"/>
      <c r="M56" s="556"/>
      <c r="N56" s="580"/>
      <c r="O56" s="580"/>
      <c r="P56" s="556"/>
      <c r="Q56" s="580"/>
      <c r="R56" s="580"/>
      <c r="S56" s="556"/>
      <c r="T56" s="580"/>
      <c r="U56" s="580"/>
      <c r="V56" s="556"/>
      <c r="W56" s="580"/>
      <c r="X56" s="580"/>
      <c r="Y56" s="556"/>
      <c r="Z56" s="580"/>
      <c r="AA56" s="580"/>
      <c r="AB56" s="556"/>
      <c r="AC56" s="580"/>
      <c r="AD56" s="580"/>
      <c r="AE56" s="556"/>
      <c r="AF56" s="580"/>
      <c r="AG56" s="580"/>
      <c r="AH56" s="556"/>
      <c r="AI56" s="580"/>
      <c r="AJ56" s="580"/>
      <c r="AK56" s="556"/>
      <c r="AL56" s="556"/>
      <c r="AM56" s="556"/>
      <c r="AN56" s="556"/>
      <c r="AO56" s="556"/>
      <c r="AP56" s="556"/>
      <c r="AQ56" s="556"/>
    </row>
    <row r="57" spans="1:43" s="534" customFormat="1" ht="18.75" customHeight="1" x14ac:dyDescent="0.3">
      <c r="A57" s="557" t="s">
        <v>342</v>
      </c>
      <c r="B57" s="581"/>
      <c r="C57" s="581"/>
      <c r="D57" s="557"/>
      <c r="E57" s="581"/>
      <c r="F57" s="581"/>
      <c r="G57" s="557"/>
      <c r="H57" s="581"/>
      <c r="I57" s="581"/>
      <c r="J57" s="557"/>
      <c r="K57" s="581"/>
      <c r="L57" s="581"/>
      <c r="M57" s="557"/>
      <c r="N57" s="581"/>
      <c r="O57" s="581"/>
      <c r="P57" s="557"/>
      <c r="Q57" s="581"/>
      <c r="R57" s="581"/>
      <c r="S57" s="557"/>
      <c r="T57" s="581"/>
      <c r="U57" s="581"/>
      <c r="V57" s="557"/>
      <c r="W57" s="581"/>
      <c r="X57" s="581"/>
      <c r="Y57" s="557"/>
      <c r="Z57" s="581"/>
      <c r="AA57" s="581"/>
      <c r="AB57" s="557"/>
      <c r="AC57" s="581"/>
      <c r="AD57" s="581"/>
      <c r="AE57" s="557"/>
      <c r="AF57" s="581"/>
      <c r="AG57" s="581"/>
      <c r="AH57" s="557"/>
      <c r="AI57" s="581"/>
      <c r="AJ57" s="581"/>
      <c r="AK57" s="557"/>
      <c r="AL57" s="557"/>
      <c r="AM57" s="557"/>
      <c r="AN57" s="557"/>
      <c r="AO57" s="557"/>
      <c r="AP57" s="557"/>
      <c r="AQ57" s="557"/>
    </row>
    <row r="58" spans="1:43" s="537" customFormat="1" ht="18.75" customHeight="1" x14ac:dyDescent="0.3">
      <c r="A58" s="520" t="s">
        <v>258</v>
      </c>
      <c r="B58" s="520"/>
      <c r="C58" s="536"/>
      <c r="D58" s="536"/>
      <c r="E58" s="536"/>
      <c r="F58" s="536"/>
      <c r="G58" s="536"/>
      <c r="H58" s="536"/>
      <c r="I58" s="536"/>
      <c r="J58" s="536"/>
      <c r="K58" s="536"/>
      <c r="L58" s="536"/>
      <c r="M58" s="536"/>
      <c r="N58" s="536"/>
      <c r="O58" s="536"/>
      <c r="P58" s="536"/>
      <c r="Q58" s="536"/>
      <c r="R58" s="536"/>
      <c r="S58" s="536"/>
      <c r="T58" s="536"/>
      <c r="U58" s="536"/>
      <c r="V58" s="536"/>
      <c r="W58" s="536"/>
      <c r="X58" s="536"/>
      <c r="Y58" s="536"/>
      <c r="Z58" s="536"/>
      <c r="AA58" s="536"/>
      <c r="AB58" s="536"/>
      <c r="AC58" s="536"/>
      <c r="AD58" s="536"/>
      <c r="AE58" s="536"/>
      <c r="AF58" s="536"/>
      <c r="AG58" s="536"/>
      <c r="AH58" s="536"/>
      <c r="AI58" s="536"/>
      <c r="AJ58" s="536"/>
      <c r="AK58" s="536"/>
      <c r="AL58" s="536"/>
      <c r="AM58" s="536"/>
      <c r="AN58" s="536"/>
      <c r="AO58" s="536"/>
      <c r="AP58" s="536"/>
    </row>
    <row r="59" spans="1:43" s="537" customFormat="1" ht="18.75" customHeight="1" x14ac:dyDescent="0.3">
      <c r="A59" s="520" t="s">
        <v>259</v>
      </c>
    </row>
    <row r="60" spans="1:43" s="537" customFormat="1" ht="18.75" customHeight="1" x14ac:dyDescent="0.3">
      <c r="A60" s="520" t="s">
        <v>260</v>
      </c>
    </row>
    <row r="61" spans="1:43" s="537" customFormat="1" ht="18.75" x14ac:dyDescent="0.3"/>
    <row r="62" spans="1:43" s="538" customFormat="1" x14ac:dyDescent="0.2">
      <c r="C62" s="539"/>
      <c r="H62" s="539"/>
      <c r="I62" s="539"/>
      <c r="AL62" s="540"/>
      <c r="AM62" s="541"/>
    </row>
  </sheetData>
  <mergeCells count="26">
    <mergeCell ref="E5:G5"/>
    <mergeCell ref="H5:J5"/>
    <mergeCell ref="K5:M5"/>
    <mergeCell ref="N5:P5"/>
    <mergeCell ref="Q5:S5"/>
    <mergeCell ref="AO5:AQ5"/>
    <mergeCell ref="B6:D6"/>
    <mergeCell ref="E6:G6"/>
    <mergeCell ref="H6:J6"/>
    <mergeCell ref="K6:M6"/>
    <mergeCell ref="N6:P6"/>
    <mergeCell ref="Q6:S6"/>
    <mergeCell ref="T6:V6"/>
    <mergeCell ref="W6:Y6"/>
    <mergeCell ref="Z6:AB6"/>
    <mergeCell ref="T5:V5"/>
    <mergeCell ref="Z5:AB5"/>
    <mergeCell ref="AF5:AH5"/>
    <mergeCell ref="AI5:AK5"/>
    <mergeCell ref="AL5:AN5"/>
    <mergeCell ref="B5:D5"/>
    <mergeCell ref="AC6:AE6"/>
    <mergeCell ref="AF6:AH6"/>
    <mergeCell ref="AI6:AK6"/>
    <mergeCell ref="AL6:AN6"/>
    <mergeCell ref="AO6:AQ6"/>
  </mergeCells>
  <conditionalFormatting sqref="AI14">
    <cfRule type="expression" dxfId="219" priority="111">
      <formula>#REF! ="14≠11+12+13"</formula>
    </cfRule>
  </conditionalFormatting>
  <conditionalFormatting sqref="AI21">
    <cfRule type="expression" dxfId="218" priority="112">
      <formula>#REF! ="22≠19+20+21"</formula>
    </cfRule>
  </conditionalFormatting>
  <conditionalFormatting sqref="AI29">
    <cfRule type="expression" dxfId="217" priority="113">
      <formula>#REF! ="30≠24+25+26+27+28+29"</formula>
    </cfRule>
  </conditionalFormatting>
  <conditionalFormatting sqref="AI34">
    <cfRule type="expression" dxfId="216" priority="114">
      <formula>#REF! ="35≠14+15+16+17+22+30+31+32+33+34"</formula>
    </cfRule>
  </conditionalFormatting>
  <conditionalFormatting sqref="AI45">
    <cfRule type="expression" dxfId="215" priority="115">
      <formula>#REF! ="46≠35+38+39+40+43+45"</formula>
    </cfRule>
  </conditionalFormatting>
  <conditionalFormatting sqref="AF14">
    <cfRule type="expression" dxfId="214" priority="101">
      <formula>#REF! ="14≠11+12+13"</formula>
    </cfRule>
  </conditionalFormatting>
  <conditionalFormatting sqref="AF21">
    <cfRule type="expression" dxfId="213" priority="102">
      <formula>#REF! ="22≠19+20+21"</formula>
    </cfRule>
  </conditionalFormatting>
  <conditionalFormatting sqref="AF29">
    <cfRule type="expression" dxfId="212" priority="103">
      <formula>#REF! ="30≠24+25+26+27+28+29"</formula>
    </cfRule>
  </conditionalFormatting>
  <conditionalFormatting sqref="AF34">
    <cfRule type="expression" dxfId="211" priority="104">
      <formula>#REF! ="35≠14+15+16+17+22+30+31+32+33+34"</formula>
    </cfRule>
  </conditionalFormatting>
  <conditionalFormatting sqref="AF45">
    <cfRule type="expression" dxfId="210" priority="105">
      <formula>#REF! ="46≠35+38+39+40+43+45"</formula>
    </cfRule>
  </conditionalFormatting>
  <conditionalFormatting sqref="K14">
    <cfRule type="expression" dxfId="209" priority="91">
      <formula>#REF! ="14≠11+12+13"</formula>
    </cfRule>
  </conditionalFormatting>
  <conditionalFormatting sqref="K21">
    <cfRule type="expression" dxfId="208" priority="92">
      <formula>#REF! ="22≠19+20+21"</formula>
    </cfRule>
  </conditionalFormatting>
  <conditionalFormatting sqref="K29">
    <cfRule type="expression" dxfId="207" priority="93">
      <formula>#REF! ="30≠24+25+26+27+28+29"</formula>
    </cfRule>
  </conditionalFormatting>
  <conditionalFormatting sqref="K34">
    <cfRule type="expression" dxfId="206" priority="94">
      <formula>#REF! ="35≠14+15+16+17+22+30+31+32+33+34"</formula>
    </cfRule>
  </conditionalFormatting>
  <conditionalFormatting sqref="K45">
    <cfRule type="expression" dxfId="205" priority="95">
      <formula>#REF! ="46≠35+38+39+40+43+45"</formula>
    </cfRule>
  </conditionalFormatting>
  <conditionalFormatting sqref="AC14">
    <cfRule type="expression" dxfId="204" priority="81">
      <formula>#REF! ="14≠11+12+13"</formula>
    </cfRule>
  </conditionalFormatting>
  <conditionalFormatting sqref="AC21">
    <cfRule type="expression" dxfId="203" priority="82">
      <formula>#REF! ="22≠19+20+21"</formula>
    </cfRule>
  </conditionalFormatting>
  <conditionalFormatting sqref="AC29">
    <cfRule type="expression" dxfId="202" priority="83">
      <formula>#REF! ="30≠24+25+26+27+28+29"</formula>
    </cfRule>
  </conditionalFormatting>
  <conditionalFormatting sqref="AC34">
    <cfRule type="expression" dxfId="201" priority="84">
      <formula>#REF! ="35≠14+15+16+17+22+30+31+32+33+34"</formula>
    </cfRule>
  </conditionalFormatting>
  <conditionalFormatting sqref="AC45">
    <cfRule type="expression" dxfId="200" priority="85">
      <formula>#REF! ="46≠35+38+39+40+43+45"</formula>
    </cfRule>
  </conditionalFormatting>
  <conditionalFormatting sqref="N14">
    <cfRule type="expression" dxfId="199" priority="71">
      <formula>#REF! ="14≠11+12+13"</formula>
    </cfRule>
  </conditionalFormatting>
  <conditionalFormatting sqref="N21">
    <cfRule type="expression" dxfId="198" priority="72">
      <formula>#REF! ="22≠19+20+21"</formula>
    </cfRule>
  </conditionalFormatting>
  <conditionalFormatting sqref="N29">
    <cfRule type="expression" dxfId="197" priority="73">
      <formula>#REF! ="30≠24+25+26+27+28+29"</formula>
    </cfRule>
  </conditionalFormatting>
  <conditionalFormatting sqref="N34">
    <cfRule type="expression" dxfId="196" priority="74">
      <formula>#REF! ="35≠14+15+16+17+22+30+31+32+33+34"</formula>
    </cfRule>
  </conditionalFormatting>
  <conditionalFormatting sqref="N45">
    <cfRule type="expression" dxfId="195" priority="75">
      <formula>#REF! ="46≠35+38+39+40+43+45"</formula>
    </cfRule>
  </conditionalFormatting>
  <conditionalFormatting sqref="W14">
    <cfRule type="expression" dxfId="194" priority="62">
      <formula>#REF! ="14≠11+12+13"</formula>
    </cfRule>
  </conditionalFormatting>
  <conditionalFormatting sqref="W21">
    <cfRule type="expression" dxfId="193" priority="63">
      <formula>#REF! ="22≠19+20+21"</formula>
    </cfRule>
  </conditionalFormatting>
  <conditionalFormatting sqref="W29">
    <cfRule type="expression" dxfId="192" priority="64">
      <formula>#REF! ="30≠24+25+26+27+28+29"</formula>
    </cfRule>
  </conditionalFormatting>
  <conditionalFormatting sqref="W34">
    <cfRule type="expression" dxfId="191" priority="65">
      <formula>#REF! ="35≠14+15+16+17+22+30+31+32+33+34"</formula>
    </cfRule>
  </conditionalFormatting>
  <conditionalFormatting sqref="Z14">
    <cfRule type="expression" dxfId="190" priority="51">
      <formula>#REF! ="14≠11+12+13"</formula>
    </cfRule>
  </conditionalFormatting>
  <conditionalFormatting sqref="Z21">
    <cfRule type="expression" dxfId="189" priority="52">
      <formula>#REF! ="22≠19+20+21"</formula>
    </cfRule>
  </conditionalFormatting>
  <conditionalFormatting sqref="Z29">
    <cfRule type="expression" dxfId="188" priority="53">
      <formula>#REF! ="30≠24+25+26+27+28+29"</formula>
    </cfRule>
  </conditionalFormatting>
  <conditionalFormatting sqref="Z34">
    <cfRule type="expression" dxfId="187" priority="54">
      <formula>#REF! ="35≠14+15+16+17+22+30+31+32+33+34"</formula>
    </cfRule>
  </conditionalFormatting>
  <conditionalFormatting sqref="Z45">
    <cfRule type="expression" dxfId="186" priority="55">
      <formula>#REF! ="46≠35+38+39+40+43+45"</formula>
    </cfRule>
  </conditionalFormatting>
  <conditionalFormatting sqref="Q14">
    <cfRule type="expression" dxfId="185" priority="41">
      <formula>#REF! ="14≠11+12+13"</formula>
    </cfRule>
  </conditionalFormatting>
  <conditionalFormatting sqref="Q21">
    <cfRule type="expression" dxfId="184" priority="42">
      <formula>#REF! ="22≠19+20+21"</formula>
    </cfRule>
  </conditionalFormatting>
  <conditionalFormatting sqref="Q29">
    <cfRule type="expression" dxfId="183" priority="43">
      <formula>#REF! ="30≠24+25+26+27+28+29"</formula>
    </cfRule>
  </conditionalFormatting>
  <conditionalFormatting sqref="Q34">
    <cfRule type="expression" dxfId="182" priority="44">
      <formula>#REF! ="35≠14+15+16+17+22+30+31+32+33+34"</formula>
    </cfRule>
  </conditionalFormatting>
  <conditionalFormatting sqref="Q45">
    <cfRule type="expression" dxfId="181" priority="45">
      <formula>#REF! ="46≠35+38+39+40+43+45"</formula>
    </cfRule>
  </conditionalFormatting>
  <conditionalFormatting sqref="B14">
    <cfRule type="expression" dxfId="180" priority="31">
      <formula>#REF! ="14≠11+12+13"</formula>
    </cfRule>
  </conditionalFormatting>
  <conditionalFormatting sqref="B21">
    <cfRule type="expression" dxfId="179" priority="32">
      <formula>#REF! ="22≠19+20+21"</formula>
    </cfRule>
  </conditionalFormatting>
  <conditionalFormatting sqref="B29">
    <cfRule type="expression" dxfId="178" priority="33">
      <formula>#REF! ="30≠24+25+26+27+28+29"</formula>
    </cfRule>
  </conditionalFormatting>
  <conditionalFormatting sqref="B34">
    <cfRule type="expression" dxfId="177" priority="34">
      <formula>#REF! ="35≠14+15+16+17+22+30+31+32+33+34"</formula>
    </cfRule>
  </conditionalFormatting>
  <conditionalFormatting sqref="B45">
    <cfRule type="expression" dxfId="176" priority="35">
      <formula>#REF! ="46≠35+38+39+40+43+45"</formula>
    </cfRule>
  </conditionalFormatting>
  <conditionalFormatting sqref="E14">
    <cfRule type="expression" dxfId="175" priority="21">
      <formula>#REF! ="14≠11+12+13"</formula>
    </cfRule>
  </conditionalFormatting>
  <conditionalFormatting sqref="E21">
    <cfRule type="expression" dxfId="174" priority="22">
      <formula>#REF! ="22≠19+20+21"</formula>
    </cfRule>
  </conditionalFormatting>
  <conditionalFormatting sqref="E29">
    <cfRule type="expression" dxfId="173" priority="23">
      <formula>#REF! ="30≠24+25+26+27+28+29"</formula>
    </cfRule>
  </conditionalFormatting>
  <conditionalFormatting sqref="E34">
    <cfRule type="expression" dxfId="172" priority="24">
      <formula>#REF! ="35≠14+15+16+17+22+30+31+32+33+34"</formula>
    </cfRule>
  </conditionalFormatting>
  <conditionalFormatting sqref="E45">
    <cfRule type="expression" dxfId="171" priority="25">
      <formula>#REF! ="46≠35+38+39+40+43+45"</formula>
    </cfRule>
  </conditionalFormatting>
  <conditionalFormatting sqref="T14">
    <cfRule type="expression" dxfId="170" priority="11">
      <formula>#REF! ="14≠11+12+13"</formula>
    </cfRule>
  </conditionalFormatting>
  <conditionalFormatting sqref="T21">
    <cfRule type="expression" dxfId="169" priority="12">
      <formula>#REF! ="22≠19+20+21"</formula>
    </cfRule>
  </conditionalFormatting>
  <conditionalFormatting sqref="T29">
    <cfRule type="expression" dxfId="168" priority="13">
      <formula>#REF! ="30≠24+25+26+27+28+29"</formula>
    </cfRule>
  </conditionalFormatting>
  <conditionalFormatting sqref="T34">
    <cfRule type="expression" dxfId="167" priority="14">
      <formula>#REF! ="35≠14+15+16+17+22+30+31+32+33+34"</formula>
    </cfRule>
  </conditionalFormatting>
  <conditionalFormatting sqref="T45">
    <cfRule type="expression" dxfId="166" priority="15">
      <formula>#REF! ="46≠35+38+39+40+43+45"</formula>
    </cfRule>
  </conditionalFormatting>
  <conditionalFormatting sqref="H14">
    <cfRule type="expression" dxfId="165" priority="1">
      <formula>#REF! ="14≠11+12+13"</formula>
    </cfRule>
  </conditionalFormatting>
  <conditionalFormatting sqref="H21">
    <cfRule type="expression" dxfId="164" priority="2">
      <formula>#REF! ="22≠19+20+21"</formula>
    </cfRule>
  </conditionalFormatting>
  <conditionalFormatting sqref="H29">
    <cfRule type="expression" dxfId="163" priority="3">
      <formula>#REF! ="30≠24+25+26+27+28+29"</formula>
    </cfRule>
  </conditionalFormatting>
  <conditionalFormatting sqref="H34">
    <cfRule type="expression" dxfId="162" priority="4">
      <formula>#REF! ="35≠14+15+16+17+22+30+31+32+33+34"</formula>
    </cfRule>
  </conditionalFormatting>
  <conditionalFormatting sqref="H45">
    <cfRule type="expression" dxfId="161" priority="5">
      <formula>#REF! ="46≠35+38+39+40+43+45"</formula>
    </cfRule>
  </conditionalFormatting>
  <conditionalFormatting sqref="AO29:AP29 AJ29 AG29 L29 AD29 O29 X29 AA29 R29 C29 F29 U29 I29">
    <cfRule type="expression" dxfId="160" priority="1045">
      <formula>#REF! ="30≠24+25+26+27+28+29"</formula>
    </cfRule>
  </conditionalFormatting>
  <conditionalFormatting sqref="AO34:AP34 AJ34 AG34 L34 AD34 O34 X34 AA34 R34 C34 F34 U34 I34">
    <cfRule type="expression" dxfId="159" priority="1046">
      <formula>#REF! ="35≠14+15+16+17+22+30+31+32+33+34"</formula>
    </cfRule>
  </conditionalFormatting>
  <conditionalFormatting sqref="AO45:AP45 AJ45 AG45 L45 AD45 O45 W45:X45 AA45 R45 C45 F45 U45 I45">
    <cfRule type="expression" dxfId="158" priority="1047">
      <formula>#REF! ="46≠35+38+39+40+43+45"</formula>
    </cfRule>
  </conditionalFormatting>
  <conditionalFormatting sqref="AJ14 AG14 L14 AD14 O14 X14 AA14 R14 C14 F14 U14 I14">
    <cfRule type="expression" dxfId="157" priority="1048">
      <formula>#REF! ="14≠11+12+13"</formula>
    </cfRule>
  </conditionalFormatting>
  <conditionalFormatting sqref="AJ21 AG21 L21 AD21 O21 X21 AA21 R21 C21 F21 U21 I21">
    <cfRule type="expression" dxfId="156" priority="1049">
      <formula>#REF! ="22≠19+20+21"</formula>
    </cfRule>
  </conditionalFormatting>
  <hyperlinks>
    <hyperlink ref="B1" location="Innhold!A1" display="Tilbake" xr:uid="{00000000-0004-0000-1E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4"/>
  <dimension ref="A1:BH130"/>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106.7109375" style="421" customWidth="1"/>
    <col min="2" max="37" width="11.7109375" style="421" customWidth="1"/>
    <col min="38" max="38" width="15.140625" style="421" customWidth="1"/>
    <col min="39" max="39" width="13" style="421" customWidth="1"/>
    <col min="40" max="40" width="11.7109375" style="421" customWidth="1"/>
    <col min="41" max="42" width="13" style="421" customWidth="1"/>
    <col min="43" max="43" width="11.7109375" style="421" customWidth="1"/>
    <col min="44" max="16384" width="11.42578125" style="421"/>
  </cols>
  <sheetData>
    <row r="1" spans="1:60" ht="20.25" customHeight="1" x14ac:dyDescent="0.3">
      <c r="A1" s="426" t="s">
        <v>177</v>
      </c>
      <c r="B1" s="427" t="s">
        <v>52</v>
      </c>
      <c r="C1" s="428"/>
      <c r="D1" s="428"/>
      <c r="E1" s="428"/>
      <c r="F1" s="428"/>
      <c r="G1" s="428"/>
      <c r="H1" s="428"/>
      <c r="I1" s="428"/>
      <c r="J1" s="428"/>
      <c r="AR1" s="429"/>
    </row>
    <row r="2" spans="1:60" ht="20.100000000000001" customHeight="1" x14ac:dyDescent="0.3">
      <c r="A2" s="426" t="s">
        <v>178</v>
      </c>
      <c r="AR2" s="429"/>
    </row>
    <row r="3" spans="1:60" ht="20.100000000000001" customHeight="1" x14ac:dyDescent="0.3">
      <c r="A3" s="430" t="s">
        <v>179</v>
      </c>
      <c r="B3" s="431"/>
      <c r="C3" s="431"/>
      <c r="D3" s="431"/>
      <c r="E3" s="431"/>
      <c r="F3" s="431"/>
      <c r="G3" s="431"/>
      <c r="H3" s="431"/>
      <c r="I3" s="431"/>
      <c r="J3" s="431"/>
      <c r="AR3" s="432"/>
    </row>
    <row r="4" spans="1:60" ht="18.75" customHeight="1" x14ac:dyDescent="0.25">
      <c r="A4" s="433" t="s">
        <v>416</v>
      </c>
      <c r="B4" s="434"/>
      <c r="C4" s="434"/>
      <c r="D4" s="435"/>
      <c r="E4" s="434"/>
      <c r="F4" s="434"/>
      <c r="G4" s="435"/>
      <c r="H4" s="436"/>
      <c r="I4" s="434"/>
      <c r="J4" s="435"/>
      <c r="K4" s="437"/>
      <c r="L4" s="437"/>
      <c r="M4" s="437"/>
      <c r="N4" s="438"/>
      <c r="O4" s="437"/>
      <c r="P4" s="439"/>
      <c r="Q4" s="438"/>
      <c r="R4" s="437"/>
      <c r="S4" s="439"/>
      <c r="T4" s="438"/>
      <c r="U4" s="437"/>
      <c r="V4" s="439"/>
      <c r="W4" s="438"/>
      <c r="X4" s="437"/>
      <c r="Y4" s="439"/>
      <c r="Z4" s="438"/>
      <c r="AA4" s="437"/>
      <c r="AB4" s="439"/>
      <c r="AC4" s="438"/>
      <c r="AD4" s="437"/>
      <c r="AE4" s="439"/>
      <c r="AF4" s="438"/>
      <c r="AG4" s="437"/>
      <c r="AH4" s="439"/>
      <c r="AI4" s="438"/>
      <c r="AJ4" s="437"/>
      <c r="AK4" s="439"/>
      <c r="AL4" s="438"/>
      <c r="AM4" s="437"/>
      <c r="AN4" s="439"/>
      <c r="AO4" s="438"/>
      <c r="AP4" s="437"/>
      <c r="AQ4" s="439"/>
      <c r="AR4" s="440"/>
      <c r="AS4" s="441"/>
      <c r="AT4" s="441"/>
      <c r="AU4" s="441"/>
      <c r="AV4" s="441"/>
      <c r="AW4" s="441"/>
      <c r="AX4" s="441"/>
      <c r="AY4" s="441"/>
      <c r="AZ4" s="441"/>
      <c r="BA4" s="441"/>
      <c r="BB4" s="441"/>
      <c r="BC4" s="441"/>
      <c r="BD4" s="441"/>
      <c r="BE4" s="441"/>
      <c r="BF4" s="441"/>
      <c r="BG4" s="441"/>
      <c r="BH4" s="441"/>
    </row>
    <row r="5" spans="1:60" ht="18.75" customHeight="1" x14ac:dyDescent="0.3">
      <c r="A5" s="442" t="s">
        <v>106</v>
      </c>
      <c r="B5" s="714" t="s">
        <v>180</v>
      </c>
      <c r="C5" s="715"/>
      <c r="D5" s="716"/>
      <c r="E5" s="714" t="s">
        <v>181</v>
      </c>
      <c r="F5" s="715"/>
      <c r="G5" s="716"/>
      <c r="H5" s="714" t="s">
        <v>182</v>
      </c>
      <c r="I5" s="715"/>
      <c r="J5" s="716"/>
      <c r="K5" s="714" t="s">
        <v>183</v>
      </c>
      <c r="L5" s="715"/>
      <c r="M5" s="716"/>
      <c r="N5" s="714" t="s">
        <v>184</v>
      </c>
      <c r="O5" s="715"/>
      <c r="P5" s="716"/>
      <c r="Q5" s="611" t="s">
        <v>184</v>
      </c>
      <c r="R5" s="612"/>
      <c r="S5" s="613"/>
      <c r="T5" s="714" t="s">
        <v>63</v>
      </c>
      <c r="U5" s="715"/>
      <c r="V5" s="716"/>
      <c r="W5" s="600"/>
      <c r="X5" s="601"/>
      <c r="Y5" s="602"/>
      <c r="Z5" s="714" t="s">
        <v>185</v>
      </c>
      <c r="AA5" s="715"/>
      <c r="AB5" s="716"/>
      <c r="AC5" s="593"/>
      <c r="AD5" s="594"/>
      <c r="AE5" s="595"/>
      <c r="AF5" s="714"/>
      <c r="AG5" s="715"/>
      <c r="AH5" s="716"/>
      <c r="AI5" s="714" t="s">
        <v>75</v>
      </c>
      <c r="AJ5" s="715"/>
      <c r="AK5" s="716"/>
      <c r="AL5" s="714" t="s">
        <v>2</v>
      </c>
      <c r="AM5" s="715"/>
      <c r="AN5" s="716"/>
      <c r="AO5" s="714" t="s">
        <v>2</v>
      </c>
      <c r="AP5" s="715"/>
      <c r="AQ5" s="716"/>
      <c r="AR5" s="443"/>
      <c r="AS5" s="444"/>
      <c r="AT5" s="717"/>
      <c r="AU5" s="717"/>
      <c r="AV5" s="717"/>
      <c r="AW5" s="717"/>
      <c r="AX5" s="717"/>
      <c r="AY5" s="717"/>
      <c r="AZ5" s="717"/>
      <c r="BA5" s="717"/>
      <c r="BB5" s="717"/>
      <c r="BC5" s="717"/>
      <c r="BD5" s="717"/>
      <c r="BE5" s="717"/>
      <c r="BF5" s="717"/>
      <c r="BG5" s="717"/>
      <c r="BH5" s="717"/>
    </row>
    <row r="6" spans="1:60" ht="21" customHeight="1" x14ac:dyDescent="0.3">
      <c r="A6" s="445"/>
      <c r="B6" s="718" t="s">
        <v>186</v>
      </c>
      <c r="C6" s="719"/>
      <c r="D6" s="720"/>
      <c r="E6" s="718" t="s">
        <v>187</v>
      </c>
      <c r="F6" s="719"/>
      <c r="G6" s="720"/>
      <c r="H6" s="718" t="s">
        <v>187</v>
      </c>
      <c r="I6" s="719"/>
      <c r="J6" s="720"/>
      <c r="K6" s="718" t="s">
        <v>188</v>
      </c>
      <c r="L6" s="719"/>
      <c r="M6" s="720"/>
      <c r="N6" s="718" t="s">
        <v>93</v>
      </c>
      <c r="O6" s="719"/>
      <c r="P6" s="720"/>
      <c r="Q6" s="718" t="s">
        <v>63</v>
      </c>
      <c r="R6" s="719"/>
      <c r="S6" s="720"/>
      <c r="T6" s="718" t="s">
        <v>189</v>
      </c>
      <c r="U6" s="719"/>
      <c r="V6" s="720"/>
      <c r="W6" s="718" t="s">
        <v>68</v>
      </c>
      <c r="X6" s="719"/>
      <c r="Y6" s="720"/>
      <c r="Z6" s="718" t="s">
        <v>186</v>
      </c>
      <c r="AA6" s="719"/>
      <c r="AB6" s="720"/>
      <c r="AC6" s="718" t="s">
        <v>74</v>
      </c>
      <c r="AD6" s="719"/>
      <c r="AE6" s="720"/>
      <c r="AF6" s="718" t="s">
        <v>70</v>
      </c>
      <c r="AG6" s="719"/>
      <c r="AH6" s="720"/>
      <c r="AI6" s="718" t="s">
        <v>187</v>
      </c>
      <c r="AJ6" s="719"/>
      <c r="AK6" s="720"/>
      <c r="AL6" s="718" t="s">
        <v>190</v>
      </c>
      <c r="AM6" s="719"/>
      <c r="AN6" s="720"/>
      <c r="AO6" s="718" t="s">
        <v>191</v>
      </c>
      <c r="AP6" s="719"/>
      <c r="AQ6" s="720"/>
      <c r="AR6" s="443"/>
      <c r="AS6" s="444"/>
      <c r="AT6" s="717"/>
      <c r="AU6" s="717"/>
      <c r="AV6" s="717"/>
      <c r="AW6" s="717"/>
      <c r="AX6" s="717"/>
      <c r="AY6" s="717"/>
      <c r="AZ6" s="717"/>
      <c r="BA6" s="717"/>
      <c r="BB6" s="717"/>
      <c r="BC6" s="717"/>
      <c r="BD6" s="717"/>
      <c r="BE6" s="717"/>
      <c r="BF6" s="717"/>
      <c r="BG6" s="717"/>
      <c r="BH6" s="717"/>
    </row>
    <row r="7" spans="1:60" ht="18.75" customHeight="1" x14ac:dyDescent="0.3">
      <c r="A7" s="445"/>
      <c r="B7" s="477"/>
      <c r="C7" s="477"/>
      <c r="D7" s="446" t="s">
        <v>83</v>
      </c>
      <c r="E7" s="477"/>
      <c r="F7" s="477"/>
      <c r="G7" s="446" t="s">
        <v>83</v>
      </c>
      <c r="H7" s="477"/>
      <c r="I7" s="477"/>
      <c r="J7" s="446" t="s">
        <v>83</v>
      </c>
      <c r="K7" s="477"/>
      <c r="L7" s="477"/>
      <c r="M7" s="446" t="s">
        <v>83</v>
      </c>
      <c r="N7" s="477"/>
      <c r="O7" s="477"/>
      <c r="P7" s="446" t="s">
        <v>83</v>
      </c>
      <c r="Q7" s="477"/>
      <c r="R7" s="477"/>
      <c r="S7" s="446" t="s">
        <v>83</v>
      </c>
      <c r="T7" s="477"/>
      <c r="U7" s="477"/>
      <c r="V7" s="446" t="s">
        <v>83</v>
      </c>
      <c r="W7" s="477"/>
      <c r="X7" s="477"/>
      <c r="Y7" s="446" t="s">
        <v>83</v>
      </c>
      <c r="Z7" s="477"/>
      <c r="AA7" s="477"/>
      <c r="AB7" s="446" t="s">
        <v>83</v>
      </c>
      <c r="AC7" s="477"/>
      <c r="AD7" s="477"/>
      <c r="AE7" s="446" t="s">
        <v>83</v>
      </c>
      <c r="AF7" s="477"/>
      <c r="AG7" s="477"/>
      <c r="AH7" s="446" t="s">
        <v>83</v>
      </c>
      <c r="AI7" s="477"/>
      <c r="AJ7" s="477"/>
      <c r="AK7" s="446" t="s">
        <v>83</v>
      </c>
      <c r="AL7" s="477"/>
      <c r="AM7" s="477"/>
      <c r="AN7" s="446" t="s">
        <v>83</v>
      </c>
      <c r="AO7" s="477"/>
      <c r="AP7" s="477"/>
      <c r="AQ7" s="446" t="s">
        <v>83</v>
      </c>
      <c r="AR7" s="443"/>
      <c r="AS7" s="444"/>
      <c r="AT7" s="444"/>
      <c r="AU7" s="444"/>
      <c r="AV7" s="444"/>
      <c r="AW7" s="444"/>
      <c r="AX7" s="444"/>
      <c r="AY7" s="444"/>
      <c r="AZ7" s="444"/>
      <c r="BA7" s="444"/>
      <c r="BB7" s="444"/>
      <c r="BC7" s="444"/>
      <c r="BD7" s="444"/>
      <c r="BE7" s="444"/>
      <c r="BF7" s="444"/>
      <c r="BG7" s="444"/>
      <c r="BH7" s="444"/>
    </row>
    <row r="8" spans="1:60" ht="18.75" customHeight="1" x14ac:dyDescent="0.25">
      <c r="A8" s="411" t="s">
        <v>192</v>
      </c>
      <c r="B8" s="586">
        <v>2018</v>
      </c>
      <c r="C8" s="586">
        <v>2019</v>
      </c>
      <c r="D8" s="412" t="s">
        <v>85</v>
      </c>
      <c r="E8" s="586">
        <v>2018</v>
      </c>
      <c r="F8" s="586">
        <v>2019</v>
      </c>
      <c r="G8" s="412" t="s">
        <v>85</v>
      </c>
      <c r="H8" s="586">
        <v>2018</v>
      </c>
      <c r="I8" s="586">
        <v>2019</v>
      </c>
      <c r="J8" s="412" t="s">
        <v>85</v>
      </c>
      <c r="K8" s="586">
        <v>2018</v>
      </c>
      <c r="L8" s="586">
        <v>2019</v>
      </c>
      <c r="M8" s="412" t="s">
        <v>85</v>
      </c>
      <c r="N8" s="586">
        <v>2018</v>
      </c>
      <c r="O8" s="586">
        <v>2019</v>
      </c>
      <c r="P8" s="412" t="s">
        <v>85</v>
      </c>
      <c r="Q8" s="586">
        <v>2018</v>
      </c>
      <c r="R8" s="586">
        <v>2019</v>
      </c>
      <c r="S8" s="412" t="s">
        <v>85</v>
      </c>
      <c r="T8" s="586">
        <v>2018</v>
      </c>
      <c r="U8" s="586">
        <v>2019</v>
      </c>
      <c r="V8" s="412" t="s">
        <v>85</v>
      </c>
      <c r="W8" s="586">
        <v>2018</v>
      </c>
      <c r="X8" s="586">
        <v>2019</v>
      </c>
      <c r="Y8" s="412" t="s">
        <v>85</v>
      </c>
      <c r="Z8" s="586">
        <v>2018</v>
      </c>
      <c r="AA8" s="586">
        <v>2019</v>
      </c>
      <c r="AB8" s="412" t="s">
        <v>85</v>
      </c>
      <c r="AC8" s="586">
        <v>2018</v>
      </c>
      <c r="AD8" s="586">
        <v>2019</v>
      </c>
      <c r="AE8" s="412" t="s">
        <v>85</v>
      </c>
      <c r="AF8" s="586">
        <v>2018</v>
      </c>
      <c r="AG8" s="586">
        <v>2019</v>
      </c>
      <c r="AH8" s="412" t="s">
        <v>85</v>
      </c>
      <c r="AI8" s="587">
        <v>2018</v>
      </c>
      <c r="AJ8" s="587">
        <v>2019</v>
      </c>
      <c r="AK8" s="412" t="s">
        <v>85</v>
      </c>
      <c r="AL8" s="560">
        <v>2018</v>
      </c>
      <c r="AM8" s="560">
        <v>2019</v>
      </c>
      <c r="AN8" s="412" t="s">
        <v>85</v>
      </c>
      <c r="AO8" s="560">
        <v>2018</v>
      </c>
      <c r="AP8" s="560">
        <v>2019</v>
      </c>
      <c r="AQ8" s="412" t="s">
        <v>85</v>
      </c>
      <c r="AR8" s="443"/>
      <c r="AS8" s="447"/>
      <c r="AT8" s="448"/>
      <c r="AU8" s="448"/>
      <c r="AV8" s="447"/>
      <c r="AW8" s="448"/>
      <c r="AX8" s="448"/>
      <c r="AY8" s="447"/>
      <c r="AZ8" s="448"/>
      <c r="BA8" s="448"/>
      <c r="BB8" s="447"/>
      <c r="BC8" s="448"/>
      <c r="BD8" s="448"/>
      <c r="BE8" s="447"/>
      <c r="BF8" s="448"/>
      <c r="BG8" s="448"/>
      <c r="BH8" s="447"/>
    </row>
    <row r="9" spans="1:60" ht="18.75" customHeight="1" x14ac:dyDescent="0.3">
      <c r="A9" s="413"/>
      <c r="B9" s="379"/>
      <c r="C9" s="380"/>
      <c r="D9" s="380"/>
      <c r="E9" s="379"/>
      <c r="F9" s="380"/>
      <c r="G9" s="380"/>
      <c r="H9" s="379"/>
      <c r="I9" s="380"/>
      <c r="J9" s="380"/>
      <c r="K9" s="383"/>
      <c r="L9" s="381"/>
      <c r="M9" s="381"/>
      <c r="N9" s="607"/>
      <c r="O9" s="382"/>
      <c r="P9" s="335"/>
      <c r="Q9" s="383"/>
      <c r="R9" s="381"/>
      <c r="S9" s="335"/>
      <c r="T9" s="566"/>
      <c r="U9" s="381"/>
      <c r="V9" s="335"/>
      <c r="W9" s="383"/>
      <c r="X9" s="381"/>
      <c r="Y9" s="335"/>
      <c r="Z9" s="383"/>
      <c r="AA9" s="381"/>
      <c r="AB9" s="335"/>
      <c r="AC9" s="383"/>
      <c r="AD9" s="381"/>
      <c r="AE9" s="335"/>
      <c r="AF9" s="383"/>
      <c r="AG9" s="381"/>
      <c r="AH9" s="335"/>
      <c r="AI9" s="566"/>
      <c r="AJ9" s="381"/>
      <c r="AK9" s="335"/>
      <c r="AL9" s="383"/>
      <c r="AM9" s="383"/>
      <c r="AN9" s="335"/>
      <c r="AO9" s="383"/>
      <c r="AP9" s="383"/>
      <c r="AQ9" s="335"/>
      <c r="AR9" s="443"/>
      <c r="AS9" s="443"/>
    </row>
    <row r="10" spans="1:60" s="422" customFormat="1" ht="18.75" customHeight="1" x14ac:dyDescent="0.3">
      <c r="A10" s="414" t="s">
        <v>193</v>
      </c>
      <c r="B10" s="384"/>
      <c r="C10" s="385"/>
      <c r="D10" s="385"/>
      <c r="E10" s="384"/>
      <c r="F10" s="385"/>
      <c r="G10" s="385"/>
      <c r="H10" s="384"/>
      <c r="I10" s="385"/>
      <c r="J10" s="385"/>
      <c r="K10" s="383"/>
      <c r="L10" s="381"/>
      <c r="M10" s="381"/>
      <c r="N10" s="607"/>
      <c r="O10" s="382"/>
      <c r="P10" s="335"/>
      <c r="Q10" s="383"/>
      <c r="R10" s="381"/>
      <c r="S10" s="335"/>
      <c r="T10" s="566"/>
      <c r="U10" s="381"/>
      <c r="V10" s="335"/>
      <c r="W10" s="383"/>
      <c r="X10" s="381"/>
      <c r="Y10" s="335"/>
      <c r="Z10" s="383"/>
      <c r="AA10" s="381"/>
      <c r="AB10" s="335"/>
      <c r="AC10" s="383"/>
      <c r="AD10" s="381"/>
      <c r="AE10" s="335"/>
      <c r="AF10" s="383"/>
      <c r="AG10" s="381"/>
      <c r="AH10" s="335"/>
      <c r="AI10" s="566"/>
      <c r="AJ10" s="381"/>
      <c r="AK10" s="335"/>
      <c r="AL10" s="383"/>
      <c r="AM10" s="383"/>
      <c r="AN10" s="335"/>
      <c r="AO10" s="383"/>
      <c r="AP10" s="383"/>
      <c r="AQ10" s="335"/>
      <c r="AR10" s="449"/>
      <c r="AS10" s="449"/>
    </row>
    <row r="11" spans="1:60" s="422" customFormat="1" ht="18.75" customHeight="1" x14ac:dyDescent="0.3">
      <c r="A11" s="415"/>
      <c r="B11" s="384"/>
      <c r="C11" s="385"/>
      <c r="D11" s="385"/>
      <c r="E11" s="384"/>
      <c r="F11" s="385"/>
      <c r="G11" s="385"/>
      <c r="H11" s="384"/>
      <c r="I11" s="385"/>
      <c r="J11" s="385"/>
      <c r="K11" s="383"/>
      <c r="L11" s="381"/>
      <c r="M11" s="381"/>
      <c r="N11" s="607"/>
      <c r="O11" s="382"/>
      <c r="P11" s="335"/>
      <c r="Q11" s="383"/>
      <c r="R11" s="381"/>
      <c r="S11" s="335"/>
      <c r="T11" s="566"/>
      <c r="U11" s="381"/>
      <c r="V11" s="335"/>
      <c r="W11" s="383"/>
      <c r="X11" s="381"/>
      <c r="Y11" s="335"/>
      <c r="Z11" s="383"/>
      <c r="AA11" s="381"/>
      <c r="AB11" s="335"/>
      <c r="AC11" s="383"/>
      <c r="AD11" s="381"/>
      <c r="AE11" s="335"/>
      <c r="AF11" s="383"/>
      <c r="AG11" s="381"/>
      <c r="AH11" s="335"/>
      <c r="AI11" s="566"/>
      <c r="AJ11" s="381"/>
      <c r="AK11" s="335"/>
      <c r="AL11" s="383"/>
      <c r="AM11" s="383"/>
      <c r="AN11" s="335"/>
      <c r="AO11" s="383"/>
      <c r="AP11" s="383"/>
      <c r="AQ11" s="335"/>
      <c r="AR11" s="449"/>
      <c r="AS11" s="449"/>
    </row>
    <row r="12" spans="1:60" s="422" customFormat="1" ht="20.100000000000001" customHeight="1" x14ac:dyDescent="0.3">
      <c r="A12" s="414" t="s">
        <v>194</v>
      </c>
      <c r="B12" s="386"/>
      <c r="C12" s="387"/>
      <c r="D12" s="387"/>
      <c r="E12" s="386"/>
      <c r="F12" s="387"/>
      <c r="G12" s="387"/>
      <c r="H12" s="386"/>
      <c r="I12" s="387"/>
      <c r="J12" s="387"/>
      <c r="K12" s="383"/>
      <c r="L12" s="381"/>
      <c r="M12" s="381"/>
      <c r="N12" s="607"/>
      <c r="O12" s="382"/>
      <c r="P12" s="335"/>
      <c r="Q12" s="383"/>
      <c r="R12" s="381"/>
      <c r="S12" s="335"/>
      <c r="T12" s="566"/>
      <c r="U12" s="381"/>
      <c r="V12" s="335"/>
      <c r="W12" s="383"/>
      <c r="X12" s="381"/>
      <c r="Y12" s="335"/>
      <c r="Z12" s="383"/>
      <c r="AA12" s="381"/>
      <c r="AB12" s="335"/>
      <c r="AC12" s="383"/>
      <c r="AD12" s="381"/>
      <c r="AE12" s="335"/>
      <c r="AF12" s="383"/>
      <c r="AG12" s="381"/>
      <c r="AH12" s="335"/>
      <c r="AI12" s="566"/>
      <c r="AJ12" s="381"/>
      <c r="AK12" s="335"/>
      <c r="AL12" s="383"/>
      <c r="AM12" s="383"/>
      <c r="AN12" s="335"/>
      <c r="AO12" s="383"/>
      <c r="AP12" s="383"/>
      <c r="AQ12" s="335"/>
      <c r="AR12" s="449"/>
      <c r="AS12" s="449"/>
    </row>
    <row r="13" spans="1:60" s="451" customFormat="1" ht="20.100000000000001" customHeight="1" x14ac:dyDescent="0.3">
      <c r="A13" s="414" t="s">
        <v>195</v>
      </c>
      <c r="B13" s="388"/>
      <c r="C13" s="389"/>
      <c r="D13" s="389"/>
      <c r="E13" s="388"/>
      <c r="F13" s="389"/>
      <c r="G13" s="389"/>
      <c r="H13" s="388"/>
      <c r="I13" s="389"/>
      <c r="J13" s="389"/>
      <c r="K13" s="394"/>
      <c r="L13" s="391"/>
      <c r="M13" s="391"/>
      <c r="N13" s="608"/>
      <c r="O13" s="392"/>
      <c r="P13" s="393"/>
      <c r="Q13" s="394"/>
      <c r="R13" s="391"/>
      <c r="S13" s="393"/>
      <c r="T13" s="390"/>
      <c r="U13" s="391"/>
      <c r="V13" s="393"/>
      <c r="W13" s="394"/>
      <c r="X13" s="391"/>
      <c r="Y13" s="393"/>
      <c r="Z13" s="394"/>
      <c r="AA13" s="391"/>
      <c r="AB13" s="393"/>
      <c r="AC13" s="394"/>
      <c r="AD13" s="391"/>
      <c r="AE13" s="393"/>
      <c r="AF13" s="394"/>
      <c r="AG13" s="391"/>
      <c r="AH13" s="393"/>
      <c r="AI13" s="390"/>
      <c r="AJ13" s="391"/>
      <c r="AK13" s="393"/>
      <c r="AL13" s="394"/>
      <c r="AM13" s="394"/>
      <c r="AN13" s="393"/>
      <c r="AO13" s="394"/>
      <c r="AP13" s="394"/>
      <c r="AQ13" s="393"/>
      <c r="AR13" s="450"/>
      <c r="AS13" s="450"/>
    </row>
    <row r="14" spans="1:60" s="451" customFormat="1" ht="20.100000000000001" customHeight="1" x14ac:dyDescent="0.3">
      <c r="A14" s="416" t="s">
        <v>196</v>
      </c>
      <c r="B14" s="395"/>
      <c r="C14" s="393"/>
      <c r="D14" s="393"/>
      <c r="E14" s="395"/>
      <c r="F14" s="393"/>
      <c r="G14" s="393"/>
      <c r="H14" s="395"/>
      <c r="I14" s="393"/>
      <c r="J14" s="393"/>
      <c r="K14" s="394"/>
      <c r="L14" s="391">
        <v>26.3</v>
      </c>
      <c r="M14" s="391"/>
      <c r="N14" s="608"/>
      <c r="O14" s="392"/>
      <c r="P14" s="393"/>
      <c r="Q14" s="394">
        <v>863.62681774999999</v>
      </c>
      <c r="R14" s="391">
        <v>957.96184874999994</v>
      </c>
      <c r="S14" s="393">
        <f t="shared" ref="S14:S28" si="0">IF(Q14=0, "    ---- ", IF(ABS(ROUND(100/Q14*R14-100,1))&lt;999,ROUND(100/Q14*R14-100,1),IF(ROUND(100/Q14*R14-100,1)&gt;999,999,-999)))</f>
        <v>10.9</v>
      </c>
      <c r="T14" s="390"/>
      <c r="U14" s="391"/>
      <c r="V14" s="393"/>
      <c r="W14" s="394"/>
      <c r="X14" s="391"/>
      <c r="Y14" s="393"/>
      <c r="Z14" s="394"/>
      <c r="AA14" s="391"/>
      <c r="AB14" s="393"/>
      <c r="AC14" s="394"/>
      <c r="AD14" s="391"/>
      <c r="AE14" s="393"/>
      <c r="AF14" s="394">
        <v>1.5920000000000001</v>
      </c>
      <c r="AG14" s="391"/>
      <c r="AH14" s="393">
        <f t="shared" ref="AH14:AH28" si="1">IF(AF14=0, "    ---- ", IF(ABS(ROUND(100/AF14*AG14-100,1))&lt;999,ROUND(100/AF14*AG14-100,1),IF(ROUND(100/AF14*AG14-100,1)&gt;999,999,-999)))</f>
        <v>-100</v>
      </c>
      <c r="AI14" s="390"/>
      <c r="AJ14" s="391"/>
      <c r="AK14" s="393"/>
      <c r="AL14" s="394">
        <f>B14+E14+H14+K14+Q14+T14+W14+Z14+AF14+AI14</f>
        <v>865.21881774999997</v>
      </c>
      <c r="AM14" s="394">
        <f>C14+F14+I14+L14+R14+U14+X14+AA14+AG14+AJ14</f>
        <v>984.2618487499999</v>
      </c>
      <c r="AN14" s="393">
        <f t="shared" ref="AN14:AN28" si="2">IF(AL14=0, "    ---- ", IF(ABS(ROUND(100/AL14*AM14-100,1))&lt;999,ROUND(100/AL14*AM14-100,1),IF(ROUND(100/AL14*AM14-100,1)&gt;999,999,-999)))</f>
        <v>13.8</v>
      </c>
      <c r="AO14" s="394">
        <f>B14+E14+H14+K14+N14+Q14+T14+W14+Z14+AC14+AF14+AI14</f>
        <v>865.21881774999997</v>
      </c>
      <c r="AP14" s="394">
        <f>C14+F14+I14+L14+O14+R14+U14+X14+AA14+AD14+AG14+AJ14</f>
        <v>984.2618487499999</v>
      </c>
      <c r="AQ14" s="393">
        <f t="shared" ref="AQ14:AQ29" si="3">IF(AO14=0, "    ---- ", IF(ABS(ROUND(100/AO14*AP14-100,1))&lt;999,ROUND(100/AO14*AP14-100,1),IF(ROUND(100/AO14*AP14-100,1)&gt;999,999,-999)))</f>
        <v>13.8</v>
      </c>
      <c r="AR14" s="450"/>
      <c r="AS14" s="450"/>
    </row>
    <row r="15" spans="1:60" s="451" customFormat="1" ht="20.100000000000001" customHeight="1" x14ac:dyDescent="0.3">
      <c r="A15" s="416" t="s">
        <v>197</v>
      </c>
      <c r="B15" s="395"/>
      <c r="C15" s="393"/>
      <c r="D15" s="393"/>
      <c r="E15" s="395">
        <v>55.369</v>
      </c>
      <c r="F15" s="393">
        <v>1176.4649999999999</v>
      </c>
      <c r="G15" s="393">
        <f t="shared" ref="G15:G28" si="4">IF(E15=0, "    ---- ", IF(ABS(ROUND(100/E15*F15-100,1))&lt;999,ROUND(100/E15*F15-100,1),IF(ROUND(100/E15*F15-100,1)&gt;999,999,-999)))</f>
        <v>999</v>
      </c>
      <c r="H15" s="395"/>
      <c r="I15" s="393"/>
      <c r="J15" s="393"/>
      <c r="K15" s="394"/>
      <c r="L15" s="391"/>
      <c r="M15" s="391"/>
      <c r="N15" s="608"/>
      <c r="O15" s="392"/>
      <c r="P15" s="393"/>
      <c r="Q15" s="394">
        <v>6534.8474007200002</v>
      </c>
      <c r="R15" s="391">
        <v>7748.45220582</v>
      </c>
      <c r="S15" s="393">
        <f t="shared" si="0"/>
        <v>18.600000000000001</v>
      </c>
      <c r="T15" s="390"/>
      <c r="U15" s="391"/>
      <c r="V15" s="393"/>
      <c r="W15" s="394"/>
      <c r="X15" s="391"/>
      <c r="Y15" s="393"/>
      <c r="Z15" s="394">
        <v>1016</v>
      </c>
      <c r="AA15" s="391">
        <v>1127</v>
      </c>
      <c r="AB15" s="393">
        <f t="shared" ref="AB15:AB28" si="5">IF(Z15=0, "    ---- ", IF(ABS(ROUND(100/Z15*AA15-100,1))&lt;999,ROUND(100/Z15*AA15-100,1),IF(ROUND(100/Z15*AA15-100,1)&gt;999,999,-999)))</f>
        <v>10.9</v>
      </c>
      <c r="AC15" s="394"/>
      <c r="AD15" s="391"/>
      <c r="AE15" s="393"/>
      <c r="AF15" s="394">
        <v>1153.011</v>
      </c>
      <c r="AG15" s="391">
        <v>2559.7800000000002</v>
      </c>
      <c r="AH15" s="393">
        <f t="shared" si="1"/>
        <v>122</v>
      </c>
      <c r="AI15" s="390">
        <v>12636.7</v>
      </c>
      <c r="AJ15" s="391">
        <v>12676</v>
      </c>
      <c r="AK15" s="393">
        <f t="shared" ref="AK15:AK28" si="6">IF(AI15=0, "    ---- ", IF(ABS(ROUND(100/AI15*AJ15-100,1))&lt;999,ROUND(100/AI15*AJ15-100,1),IF(ROUND(100/AI15*AJ15-100,1)&gt;999,999,-999)))</f>
        <v>0.3</v>
      </c>
      <c r="AL15" s="394">
        <f t="shared" ref="AL15:AM29" si="7">B15+E15+H15+K15+Q15+T15+W15+Z15+AF15+AI15</f>
        <v>21395.92740072</v>
      </c>
      <c r="AM15" s="394">
        <f t="shared" si="7"/>
        <v>25287.697205820001</v>
      </c>
      <c r="AN15" s="393">
        <f t="shared" si="2"/>
        <v>18.2</v>
      </c>
      <c r="AO15" s="394">
        <f t="shared" ref="AO15:AP29" si="8">B15+E15+H15+K15+N15+Q15+T15+W15+Z15+AC15+AF15+AI15</f>
        <v>21395.92740072</v>
      </c>
      <c r="AP15" s="394">
        <f t="shared" si="8"/>
        <v>25287.697205820001</v>
      </c>
      <c r="AQ15" s="393">
        <f t="shared" si="3"/>
        <v>18.2</v>
      </c>
      <c r="AR15" s="450"/>
      <c r="AS15" s="450"/>
    </row>
    <row r="16" spans="1:60" s="451" customFormat="1" ht="20.100000000000001" customHeight="1" x14ac:dyDescent="0.3">
      <c r="A16" s="416" t="s">
        <v>198</v>
      </c>
      <c r="B16" s="395">
        <v>0</v>
      </c>
      <c r="C16" s="393">
        <f>SUM(C17+C19)</f>
        <v>0</v>
      </c>
      <c r="D16" s="393"/>
      <c r="E16" s="395">
        <v>2884.0940000000001</v>
      </c>
      <c r="F16" s="393">
        <f>SUM(F17+F19)</f>
        <v>5339.6121772400002</v>
      </c>
      <c r="G16" s="393"/>
      <c r="H16" s="395">
        <v>30.7</v>
      </c>
      <c r="I16" s="393">
        <f>SUM(I17+I19)</f>
        <v>39.835000000000001</v>
      </c>
      <c r="J16" s="393"/>
      <c r="K16" s="394">
        <f>SUM(K17+K19)</f>
        <v>0</v>
      </c>
      <c r="L16" s="391">
        <f>SUM(L17+L19)</f>
        <v>233.6</v>
      </c>
      <c r="M16" s="391"/>
      <c r="N16" s="608"/>
      <c r="O16" s="392"/>
      <c r="P16" s="393"/>
      <c r="Q16" s="394">
        <v>16623.882704789998</v>
      </c>
      <c r="R16" s="391">
        <f>SUM(R17+R19)</f>
        <v>18158.502889359999</v>
      </c>
      <c r="S16" s="393">
        <f t="shared" si="0"/>
        <v>9.1999999999999993</v>
      </c>
      <c r="T16" s="390">
        <v>229.50200000000001</v>
      </c>
      <c r="U16" s="391">
        <f>SUM(U17+U19)</f>
        <v>252.143</v>
      </c>
      <c r="V16" s="393"/>
      <c r="W16" s="394">
        <v>0</v>
      </c>
      <c r="X16" s="391">
        <f>SUM(X17+X19)</f>
        <v>0</v>
      </c>
      <c r="Y16" s="393"/>
      <c r="Z16" s="394">
        <v>4470</v>
      </c>
      <c r="AA16" s="391">
        <f>SUM(AA17+AA19)</f>
        <v>4549</v>
      </c>
      <c r="AB16" s="393">
        <f t="shared" si="5"/>
        <v>1.8</v>
      </c>
      <c r="AC16" s="394"/>
      <c r="AD16" s="391"/>
      <c r="AE16" s="393"/>
      <c r="AF16" s="394">
        <f>SUM(AF17+AF19)</f>
        <v>1246.846</v>
      </c>
      <c r="AG16" s="391">
        <f>SUM(AG17+AG19)</f>
        <v>1212.5509999999999</v>
      </c>
      <c r="AH16" s="393">
        <f t="shared" si="1"/>
        <v>-2.8</v>
      </c>
      <c r="AI16" s="390">
        <f>0.7+3381.4+285.7</f>
        <v>3667.7999999999997</v>
      </c>
      <c r="AJ16" s="391">
        <f>SUM(AJ17+AJ19)</f>
        <v>7970</v>
      </c>
      <c r="AK16" s="393">
        <f t="shared" si="6"/>
        <v>117.3</v>
      </c>
      <c r="AL16" s="394">
        <f t="shared" si="7"/>
        <v>29152.82470479</v>
      </c>
      <c r="AM16" s="394">
        <f t="shared" si="7"/>
        <v>37755.244066600004</v>
      </c>
      <c r="AN16" s="393">
        <f t="shared" si="2"/>
        <v>29.5</v>
      </c>
      <c r="AO16" s="394">
        <f t="shared" si="8"/>
        <v>29152.82470479</v>
      </c>
      <c r="AP16" s="394">
        <f t="shared" si="8"/>
        <v>37755.244066600004</v>
      </c>
      <c r="AQ16" s="393">
        <f t="shared" si="3"/>
        <v>29.5</v>
      </c>
      <c r="AR16" s="450"/>
      <c r="AS16" s="450"/>
    </row>
    <row r="17" spans="1:46" s="451" customFormat="1" ht="20.100000000000001" customHeight="1" x14ac:dyDescent="0.3">
      <c r="A17" s="416" t="s">
        <v>199</v>
      </c>
      <c r="B17" s="395"/>
      <c r="C17" s="393"/>
      <c r="D17" s="393"/>
      <c r="E17" s="395">
        <v>1048.6220000000001</v>
      </c>
      <c r="F17" s="393">
        <v>2919.2705403300001</v>
      </c>
      <c r="G17" s="393"/>
      <c r="H17" s="395">
        <v>30.7</v>
      </c>
      <c r="I17" s="393">
        <v>39.835000000000001</v>
      </c>
      <c r="J17" s="393"/>
      <c r="K17" s="394"/>
      <c r="L17" s="391"/>
      <c r="M17" s="391"/>
      <c r="N17" s="608"/>
      <c r="O17" s="392"/>
      <c r="P17" s="393"/>
      <c r="Q17" s="394">
        <v>6819.7896716599998</v>
      </c>
      <c r="R17" s="391">
        <v>6908.8133649399997</v>
      </c>
      <c r="S17" s="393">
        <f t="shared" si="0"/>
        <v>1.3</v>
      </c>
      <c r="T17" s="390">
        <v>229.50200000000001</v>
      </c>
      <c r="U17" s="391">
        <v>252.143</v>
      </c>
      <c r="V17" s="393"/>
      <c r="W17" s="394"/>
      <c r="X17" s="391"/>
      <c r="Y17" s="393"/>
      <c r="Z17" s="394">
        <v>170</v>
      </c>
      <c r="AA17" s="391">
        <v>119</v>
      </c>
      <c r="AB17" s="393">
        <f t="shared" si="5"/>
        <v>-30</v>
      </c>
      <c r="AC17" s="394"/>
      <c r="AD17" s="391"/>
      <c r="AE17" s="393"/>
      <c r="AF17" s="394">
        <v>128.86600000000001</v>
      </c>
      <c r="AG17" s="391">
        <v>103.23399999999999</v>
      </c>
      <c r="AH17" s="393">
        <f t="shared" si="1"/>
        <v>-19.899999999999999</v>
      </c>
      <c r="AI17" s="390"/>
      <c r="AJ17" s="391"/>
      <c r="AK17" s="393" t="str">
        <f t="shared" si="6"/>
        <v xml:space="preserve">    ---- </v>
      </c>
      <c r="AL17" s="394">
        <f t="shared" si="7"/>
        <v>8427.4796716600013</v>
      </c>
      <c r="AM17" s="394">
        <f t="shared" si="7"/>
        <v>10342.295905270001</v>
      </c>
      <c r="AN17" s="393">
        <f t="shared" si="2"/>
        <v>22.7</v>
      </c>
      <c r="AO17" s="394">
        <f t="shared" si="8"/>
        <v>8427.4796716600013</v>
      </c>
      <c r="AP17" s="394">
        <f t="shared" si="8"/>
        <v>10342.295905270001</v>
      </c>
      <c r="AQ17" s="393">
        <f t="shared" si="3"/>
        <v>22.7</v>
      </c>
      <c r="AR17" s="450"/>
      <c r="AS17" s="450"/>
    </row>
    <row r="18" spans="1:46" s="451" customFormat="1" ht="20.100000000000001" customHeight="1" x14ac:dyDescent="0.3">
      <c r="A18" s="416" t="s">
        <v>200</v>
      </c>
      <c r="B18" s="395"/>
      <c r="C18" s="393"/>
      <c r="D18" s="393"/>
      <c r="E18" s="395">
        <v>1048.6220000000001</v>
      </c>
      <c r="F18" s="393">
        <v>2919.2705403300001</v>
      </c>
      <c r="G18" s="393"/>
      <c r="H18" s="395"/>
      <c r="I18" s="393"/>
      <c r="J18" s="393"/>
      <c r="K18" s="394"/>
      <c r="L18" s="391"/>
      <c r="M18" s="391"/>
      <c r="N18" s="608"/>
      <c r="O18" s="392"/>
      <c r="P18" s="393"/>
      <c r="Q18" s="394">
        <v>6819.7896716599998</v>
      </c>
      <c r="R18" s="391">
        <v>6908.8133649399997</v>
      </c>
      <c r="S18" s="393">
        <f t="shared" si="0"/>
        <v>1.3</v>
      </c>
      <c r="T18" s="390"/>
      <c r="U18" s="391"/>
      <c r="V18" s="393"/>
      <c r="W18" s="394"/>
      <c r="X18" s="391"/>
      <c r="Y18" s="393"/>
      <c r="Z18" s="394"/>
      <c r="AA18" s="391"/>
      <c r="AB18" s="393"/>
      <c r="AC18" s="394"/>
      <c r="AD18" s="391"/>
      <c r="AE18" s="393"/>
      <c r="AF18" s="394">
        <v>27.980421249999672</v>
      </c>
      <c r="AG18" s="391">
        <v>16.489130860000142</v>
      </c>
      <c r="AH18" s="393">
        <f t="shared" si="1"/>
        <v>-41.1</v>
      </c>
      <c r="AI18" s="390"/>
      <c r="AJ18" s="391"/>
      <c r="AK18" s="393" t="str">
        <f t="shared" si="6"/>
        <v xml:space="preserve">    ---- </v>
      </c>
      <c r="AL18" s="394">
        <f t="shared" si="7"/>
        <v>7896.3920929099995</v>
      </c>
      <c r="AM18" s="394">
        <f t="shared" si="7"/>
        <v>9844.5730361299993</v>
      </c>
      <c r="AN18" s="393">
        <f t="shared" si="2"/>
        <v>24.7</v>
      </c>
      <c r="AO18" s="394">
        <f t="shared" si="8"/>
        <v>7896.3920929099995</v>
      </c>
      <c r="AP18" s="394">
        <f t="shared" si="8"/>
        <v>9844.5730361299993</v>
      </c>
      <c r="AQ18" s="393">
        <f t="shared" si="3"/>
        <v>24.7</v>
      </c>
      <c r="AR18" s="450"/>
      <c r="AS18" s="450"/>
    </row>
    <row r="19" spans="1:46" s="451" customFormat="1" ht="20.100000000000001" customHeight="1" x14ac:dyDescent="0.3">
      <c r="A19" s="416" t="s">
        <v>201</v>
      </c>
      <c r="B19" s="395"/>
      <c r="C19" s="393"/>
      <c r="D19" s="393"/>
      <c r="E19" s="395">
        <v>1835.472</v>
      </c>
      <c r="F19" s="393">
        <v>2420.34163691</v>
      </c>
      <c r="G19" s="393"/>
      <c r="H19" s="395"/>
      <c r="I19" s="393"/>
      <c r="J19" s="393"/>
      <c r="K19" s="394"/>
      <c r="L19" s="391">
        <v>233.6</v>
      </c>
      <c r="M19" s="391"/>
      <c r="N19" s="608"/>
      <c r="O19" s="392"/>
      <c r="P19" s="393"/>
      <c r="Q19" s="394">
        <v>9804.0930331299987</v>
      </c>
      <c r="R19" s="391">
        <v>11249.68952442</v>
      </c>
      <c r="S19" s="393">
        <f t="shared" si="0"/>
        <v>14.7</v>
      </c>
      <c r="T19" s="390"/>
      <c r="U19" s="391"/>
      <c r="V19" s="393"/>
      <c r="W19" s="394"/>
      <c r="X19" s="391"/>
      <c r="Y19" s="393"/>
      <c r="Z19" s="394">
        <v>4300</v>
      </c>
      <c r="AA19" s="391">
        <v>4430</v>
      </c>
      <c r="AB19" s="393">
        <f t="shared" si="5"/>
        <v>3</v>
      </c>
      <c r="AC19" s="394"/>
      <c r="AD19" s="391"/>
      <c r="AE19" s="393"/>
      <c r="AF19" s="394">
        <v>1117.98</v>
      </c>
      <c r="AG19" s="391">
        <v>1109.317</v>
      </c>
      <c r="AH19" s="393">
        <f t="shared" si="1"/>
        <v>-0.8</v>
      </c>
      <c r="AI19" s="390">
        <f>3381.4+0.7+285.7</f>
        <v>3667.7999999999997</v>
      </c>
      <c r="AJ19" s="391">
        <f>7542+427+1</f>
        <v>7970</v>
      </c>
      <c r="AK19" s="393">
        <f t="shared" si="6"/>
        <v>117.3</v>
      </c>
      <c r="AL19" s="394">
        <f t="shared" si="7"/>
        <v>20725.345033129997</v>
      </c>
      <c r="AM19" s="394">
        <f t="shared" si="7"/>
        <v>27412.948161329998</v>
      </c>
      <c r="AN19" s="393">
        <f t="shared" si="2"/>
        <v>32.299999999999997</v>
      </c>
      <c r="AO19" s="394">
        <f t="shared" si="8"/>
        <v>20725.345033129997</v>
      </c>
      <c r="AP19" s="394">
        <f t="shared" si="8"/>
        <v>27412.948161329998</v>
      </c>
      <c r="AQ19" s="393">
        <f t="shared" si="3"/>
        <v>32.299999999999997</v>
      </c>
      <c r="AR19" s="450"/>
      <c r="AS19" s="450"/>
    </row>
    <row r="20" spans="1:46" s="451" customFormat="1" ht="20.100000000000001" customHeight="1" x14ac:dyDescent="0.3">
      <c r="A20" s="416" t="s">
        <v>202</v>
      </c>
      <c r="B20" s="395">
        <v>236.45500000000001</v>
      </c>
      <c r="C20" s="393">
        <f>SUM(C21:C25)</f>
        <v>243.90200000000002</v>
      </c>
      <c r="D20" s="393">
        <f>IF(B20=0, "    ---- ", IF(ABS(ROUND(100/B20*C20-100,1))&lt;999,ROUND(100/B20*C20-100,1),IF(ROUND(100/B20*C20-100,1)&gt;999,999,-999)))</f>
        <v>3.1</v>
      </c>
      <c r="E20" s="395">
        <v>27840.57</v>
      </c>
      <c r="F20" s="393">
        <f>SUM(F21:F25)</f>
        <v>24746.988047980001</v>
      </c>
      <c r="G20" s="393">
        <f t="shared" si="4"/>
        <v>-11.1</v>
      </c>
      <c r="H20" s="395">
        <v>126.7</v>
      </c>
      <c r="I20" s="393">
        <f>SUM(I21:I25)</f>
        <v>154.928</v>
      </c>
      <c r="J20" s="393">
        <f t="shared" ref="J20:J28" si="9">IF(H20=0, "    ---- ", IF(ABS(ROUND(100/H20*I20-100,1))&lt;999,ROUND(100/H20*I20-100,1),IF(ROUND(100/H20*I20-100,1)&gt;999,999,-999)))</f>
        <v>22.3</v>
      </c>
      <c r="K20" s="394">
        <f>SUM(K21:K25)</f>
        <v>934</v>
      </c>
      <c r="L20" s="391">
        <f>SUM(L21:L25)</f>
        <v>662.19999999999993</v>
      </c>
      <c r="M20" s="391">
        <f t="shared" ref="M20:M28" si="10">IF(K20=0, "    ---- ", IF(ABS(ROUND(100/K20*L20-100,1))&lt;999,ROUND(100/K20*L20-100,1),IF(ROUND(100/K20*L20-100,1)&gt;999,999,-999)))</f>
        <v>-29.1</v>
      </c>
      <c r="N20" s="608">
        <v>145</v>
      </c>
      <c r="O20" s="392">
        <f>SUM(O21:O25)</f>
        <v>147.51286438</v>
      </c>
      <c r="P20" s="393">
        <f t="shared" ref="P20:P27" si="11">IF(N20=0, "    ---- ", IF(ABS(ROUND(100/N20*O20-100,1))&lt;999,ROUND(100/N20*O20-100,1),IF(ROUND(100/N20*O20-100,1)&gt;999,999,-999)))</f>
        <v>1.7</v>
      </c>
      <c r="Q20" s="394">
        <v>11611.930921510002</v>
      </c>
      <c r="R20" s="391">
        <f>SUM(R21:R25)</f>
        <v>12411.934722129999</v>
      </c>
      <c r="S20" s="393">
        <f t="shared" si="0"/>
        <v>6.9</v>
      </c>
      <c r="T20" s="390">
        <v>276.64699999999999</v>
      </c>
      <c r="U20" s="391">
        <f>SUM(U21:U25)</f>
        <v>239.50899999999999</v>
      </c>
      <c r="V20" s="393">
        <f t="shared" ref="V20:V28" si="12">IF(T20=0, "    ---- ", IF(ABS(ROUND(100/T20*U20-100,1))&lt;999,ROUND(100/T20*U20-100,1),IF(ROUND(100/T20*U20-100,1)&gt;999,999,-999)))</f>
        <v>-13.4</v>
      </c>
      <c r="W20" s="394">
        <v>10042.89</v>
      </c>
      <c r="X20" s="391">
        <f>SUM(X21:X25)</f>
        <v>10849.5</v>
      </c>
      <c r="Y20" s="393">
        <f t="shared" ref="Y20:Y28" si="13">IF(W20=0, "    ---- ", IF(ABS(ROUND(100/W20*X20-100,1))&lt;999,ROUND(100/W20*X20-100,1),IF(ROUND(100/W20*X20-100,1)&gt;999,999,-999)))</f>
        <v>8</v>
      </c>
      <c r="Z20" s="394">
        <v>3206</v>
      </c>
      <c r="AA20" s="391">
        <f>SUM(AA21:AA25)</f>
        <v>3616</v>
      </c>
      <c r="AB20" s="393">
        <f t="shared" si="5"/>
        <v>12.8</v>
      </c>
      <c r="AC20" s="394">
        <v>54</v>
      </c>
      <c r="AD20" s="391">
        <f>SUM(AD21:AD25)</f>
        <v>69.567778559999994</v>
      </c>
      <c r="AE20" s="335">
        <f>IF(AC20=0, "    ---- ", IF(ABS(ROUND(100/AC20*AD20-100,1))&lt;999,ROUND(100/AC20*AD20-100,1),IF(ROUND(100/AC20*AD20-100,1)&gt;999,999,-999)))</f>
        <v>28.8</v>
      </c>
      <c r="AF20" s="394">
        <f>SUM(AF21:AF25)</f>
        <v>3355.1519999999996</v>
      </c>
      <c r="AG20" s="391">
        <f>SUM(AG21:AG25)</f>
        <v>3399.9389999999999</v>
      </c>
      <c r="AH20" s="393">
        <f t="shared" si="1"/>
        <v>1.3</v>
      </c>
      <c r="AI20" s="390">
        <f>SUM(AI21:AI25)</f>
        <v>16309.900000000001</v>
      </c>
      <c r="AJ20" s="391">
        <f>SUM(AJ21:AJ25)</f>
        <v>11296</v>
      </c>
      <c r="AK20" s="393">
        <f t="shared" si="6"/>
        <v>-30.7</v>
      </c>
      <c r="AL20" s="394">
        <f t="shared" si="7"/>
        <v>73940.244921510006</v>
      </c>
      <c r="AM20" s="394">
        <f t="shared" si="7"/>
        <v>67620.900770109991</v>
      </c>
      <c r="AN20" s="393">
        <f t="shared" si="2"/>
        <v>-8.5</v>
      </c>
      <c r="AO20" s="394">
        <f t="shared" si="8"/>
        <v>74139.244921510006</v>
      </c>
      <c r="AP20" s="394">
        <f t="shared" si="8"/>
        <v>67837.981413050002</v>
      </c>
      <c r="AQ20" s="393">
        <f t="shared" si="3"/>
        <v>-8.5</v>
      </c>
      <c r="AR20" s="450"/>
      <c r="AS20" s="450"/>
    </row>
    <row r="21" spans="1:46" s="451" customFormat="1" ht="20.100000000000001" customHeight="1" x14ac:dyDescent="0.3">
      <c r="A21" s="416" t="s">
        <v>203</v>
      </c>
      <c r="B21" s="395">
        <v>5.6390000000000002</v>
      </c>
      <c r="C21" s="393">
        <v>5.7329999999999997</v>
      </c>
      <c r="D21" s="393">
        <f>IF(B21=0, "    ---- ", IF(ABS(ROUND(100/B21*C21-100,1))&lt;999,ROUND(100/B21*C21-100,1),IF(ROUND(100/B21*C21-100,1)&gt;999,999,-999)))</f>
        <v>1.7</v>
      </c>
      <c r="E21" s="395">
        <v>1140.07</v>
      </c>
      <c r="F21" s="393">
        <v>141.10020585000001</v>
      </c>
      <c r="G21" s="393">
        <f t="shared" si="4"/>
        <v>-87.6</v>
      </c>
      <c r="H21" s="395">
        <v>18</v>
      </c>
      <c r="I21" s="393">
        <v>17.798999999999999</v>
      </c>
      <c r="J21" s="393">
        <f t="shared" si="9"/>
        <v>-1.1000000000000001</v>
      </c>
      <c r="K21" s="394">
        <v>33</v>
      </c>
      <c r="L21" s="391">
        <v>18.8</v>
      </c>
      <c r="M21" s="391">
        <f t="shared" si="10"/>
        <v>-43</v>
      </c>
      <c r="N21" s="608"/>
      <c r="O21" s="392"/>
      <c r="P21" s="393"/>
      <c r="Q21" s="394">
        <v>488.42259999999999</v>
      </c>
      <c r="R21" s="391">
        <v>3.53380845</v>
      </c>
      <c r="S21" s="393">
        <f t="shared" si="0"/>
        <v>-99.3</v>
      </c>
      <c r="T21" s="390">
        <v>274.17899999999997</v>
      </c>
      <c r="U21" s="391">
        <v>230.21199999999999</v>
      </c>
      <c r="V21" s="393">
        <f t="shared" si="12"/>
        <v>-16</v>
      </c>
      <c r="W21" s="394">
        <v>0</v>
      </c>
      <c r="X21" s="391">
        <v>0</v>
      </c>
      <c r="Y21" s="393" t="str">
        <f t="shared" si="13"/>
        <v xml:space="preserve">    ---- </v>
      </c>
      <c r="Z21" s="394">
        <v>1467</v>
      </c>
      <c r="AA21" s="391">
        <v>1931</v>
      </c>
      <c r="AB21" s="393"/>
      <c r="AC21" s="394"/>
      <c r="AD21" s="391"/>
      <c r="AE21" s="393"/>
      <c r="AF21" s="394">
        <v>0.52700000000000002</v>
      </c>
      <c r="AG21" s="391">
        <v>0.48899999999999999</v>
      </c>
      <c r="AH21" s="393">
        <f t="shared" si="1"/>
        <v>-7.2</v>
      </c>
      <c r="AI21" s="390">
        <v>16.600000000000001</v>
      </c>
      <c r="AJ21" s="391">
        <v>19</v>
      </c>
      <c r="AK21" s="393">
        <f t="shared" si="6"/>
        <v>14.5</v>
      </c>
      <c r="AL21" s="394">
        <f t="shared" si="7"/>
        <v>3443.4375999999997</v>
      </c>
      <c r="AM21" s="394">
        <f t="shared" si="7"/>
        <v>2367.6670143000001</v>
      </c>
      <c r="AN21" s="393">
        <f t="shared" si="2"/>
        <v>-31.2</v>
      </c>
      <c r="AO21" s="394">
        <f t="shared" si="8"/>
        <v>3443.4375999999997</v>
      </c>
      <c r="AP21" s="394">
        <f t="shared" si="8"/>
        <v>2367.6670143000001</v>
      </c>
      <c r="AQ21" s="393">
        <f t="shared" si="3"/>
        <v>-31.2</v>
      </c>
      <c r="AR21" s="450"/>
      <c r="AS21" s="450"/>
    </row>
    <row r="22" spans="1:46" s="451" customFormat="1" ht="20.100000000000001" customHeight="1" x14ac:dyDescent="0.3">
      <c r="A22" s="416" t="s">
        <v>204</v>
      </c>
      <c r="B22" s="395">
        <v>230.816</v>
      </c>
      <c r="C22" s="393">
        <v>238.16900000000001</v>
      </c>
      <c r="D22" s="393">
        <f>IF(B22=0, "    ---- ", IF(ABS(ROUND(100/B22*C22-100,1))&lt;999,ROUND(100/B22*C22-100,1),IF(ROUND(100/B22*C22-100,1)&gt;999,999,-999)))</f>
        <v>3.2</v>
      </c>
      <c r="E22" s="395">
        <v>26699.213</v>
      </c>
      <c r="F22" s="393">
        <v>24598.638056749998</v>
      </c>
      <c r="G22" s="393">
        <f t="shared" si="4"/>
        <v>-7.9</v>
      </c>
      <c r="H22" s="395">
        <v>86.7</v>
      </c>
      <c r="I22" s="393">
        <v>111.89400000000001</v>
      </c>
      <c r="J22" s="393">
        <f t="shared" si="9"/>
        <v>29.1</v>
      </c>
      <c r="K22" s="394">
        <v>803</v>
      </c>
      <c r="L22" s="391">
        <v>642</v>
      </c>
      <c r="M22" s="391">
        <f t="shared" si="10"/>
        <v>-20</v>
      </c>
      <c r="N22" s="608"/>
      <c r="O22" s="392"/>
      <c r="P22" s="393"/>
      <c r="Q22" s="394">
        <v>8925.6518685300016</v>
      </c>
      <c r="R22" s="391">
        <v>10261.168937879998</v>
      </c>
      <c r="S22" s="393">
        <f t="shared" si="0"/>
        <v>15</v>
      </c>
      <c r="T22" s="390"/>
      <c r="U22" s="391"/>
      <c r="V22" s="393" t="str">
        <f t="shared" si="12"/>
        <v xml:space="preserve">    ---- </v>
      </c>
      <c r="W22" s="394">
        <v>9865.57</v>
      </c>
      <c r="X22" s="391">
        <v>10397.209999999999</v>
      </c>
      <c r="Y22" s="393">
        <f t="shared" si="13"/>
        <v>5.4</v>
      </c>
      <c r="Z22" s="394">
        <v>1748</v>
      </c>
      <c r="AA22" s="391">
        <v>1675</v>
      </c>
      <c r="AB22" s="393">
        <f t="shared" si="5"/>
        <v>-4.2</v>
      </c>
      <c r="AC22" s="394"/>
      <c r="AD22" s="391"/>
      <c r="AE22" s="393"/>
      <c r="AF22" s="394">
        <v>2878.6509999999998</v>
      </c>
      <c r="AG22" s="391">
        <v>2769.1109999999999</v>
      </c>
      <c r="AH22" s="393">
        <f t="shared" si="1"/>
        <v>-3.8</v>
      </c>
      <c r="AI22" s="390">
        <v>15332.1</v>
      </c>
      <c r="AJ22" s="391">
        <v>10274</v>
      </c>
      <c r="AK22" s="393">
        <f t="shared" si="6"/>
        <v>-33</v>
      </c>
      <c r="AL22" s="394">
        <f t="shared" si="7"/>
        <v>66569.701868529999</v>
      </c>
      <c r="AM22" s="394">
        <f t="shared" si="7"/>
        <v>60967.190994629993</v>
      </c>
      <c r="AN22" s="393">
        <f t="shared" si="2"/>
        <v>-8.4</v>
      </c>
      <c r="AO22" s="394">
        <f t="shared" si="8"/>
        <v>66569.701868529999</v>
      </c>
      <c r="AP22" s="394">
        <f t="shared" si="8"/>
        <v>60967.190994629993</v>
      </c>
      <c r="AQ22" s="393">
        <f t="shared" si="3"/>
        <v>-8.4</v>
      </c>
      <c r="AR22" s="450"/>
      <c r="AS22" s="450"/>
    </row>
    <row r="23" spans="1:46" s="451" customFormat="1" ht="20.100000000000001" customHeight="1" x14ac:dyDescent="0.3">
      <c r="A23" s="416" t="s">
        <v>205</v>
      </c>
      <c r="B23" s="395"/>
      <c r="C23" s="393"/>
      <c r="D23" s="393"/>
      <c r="E23" s="395">
        <v>9.3030000000000008</v>
      </c>
      <c r="F23" s="393">
        <v>2.2513668300000003</v>
      </c>
      <c r="G23" s="393">
        <f t="shared" si="4"/>
        <v>-75.8</v>
      </c>
      <c r="H23" s="395"/>
      <c r="I23" s="393"/>
      <c r="J23" s="393"/>
      <c r="K23" s="394">
        <v>98</v>
      </c>
      <c r="L23" s="391"/>
      <c r="M23" s="391">
        <f t="shared" si="10"/>
        <v>-100</v>
      </c>
      <c r="N23" s="608"/>
      <c r="O23" s="392"/>
      <c r="P23" s="393"/>
      <c r="Q23" s="394">
        <v>1685.7093903099999</v>
      </c>
      <c r="R23" s="391">
        <v>1422.31604496</v>
      </c>
      <c r="S23" s="393">
        <f t="shared" si="0"/>
        <v>-15.6</v>
      </c>
      <c r="T23" s="390">
        <v>2.4689999999999999</v>
      </c>
      <c r="U23" s="391">
        <v>9.2970000000000006</v>
      </c>
      <c r="V23" s="393">
        <f t="shared" si="12"/>
        <v>276.5</v>
      </c>
      <c r="W23" s="394">
        <v>177.32</v>
      </c>
      <c r="X23" s="391">
        <v>117.29</v>
      </c>
      <c r="Y23" s="393">
        <f t="shared" si="13"/>
        <v>-33.9</v>
      </c>
      <c r="Z23" s="394"/>
      <c r="AA23" s="391"/>
      <c r="AB23" s="393" t="str">
        <f t="shared" si="5"/>
        <v xml:space="preserve">    ---- </v>
      </c>
      <c r="AC23" s="394"/>
      <c r="AD23" s="391"/>
      <c r="AE23" s="393"/>
      <c r="AF23" s="394">
        <v>0</v>
      </c>
      <c r="AG23" s="391">
        <v>0</v>
      </c>
      <c r="AH23" s="393" t="str">
        <f t="shared" si="1"/>
        <v xml:space="preserve">    ---- </v>
      </c>
      <c r="AI23" s="390"/>
      <c r="AJ23" s="391"/>
      <c r="AK23" s="393" t="str">
        <f t="shared" si="6"/>
        <v xml:space="preserve">    ---- </v>
      </c>
      <c r="AL23" s="394">
        <f t="shared" si="7"/>
        <v>1972.8013903099998</v>
      </c>
      <c r="AM23" s="394">
        <f t="shared" si="7"/>
        <v>1551.15441179</v>
      </c>
      <c r="AN23" s="393">
        <f t="shared" si="2"/>
        <v>-21.4</v>
      </c>
      <c r="AO23" s="394">
        <f t="shared" si="8"/>
        <v>1972.8013903099998</v>
      </c>
      <c r="AP23" s="394">
        <f t="shared" si="8"/>
        <v>1551.15441179</v>
      </c>
      <c r="AQ23" s="393">
        <f t="shared" si="3"/>
        <v>-21.4</v>
      </c>
      <c r="AR23" s="450"/>
      <c r="AS23" s="450"/>
    </row>
    <row r="24" spans="1:46" s="451" customFormat="1" ht="20.100000000000001" customHeight="1" x14ac:dyDescent="0.3">
      <c r="A24" s="416" t="s">
        <v>206</v>
      </c>
      <c r="B24" s="395"/>
      <c r="C24" s="393"/>
      <c r="D24" s="393"/>
      <c r="E24" s="395"/>
      <c r="F24" s="393">
        <v>0</v>
      </c>
      <c r="G24" s="393" t="str">
        <f t="shared" si="4"/>
        <v xml:space="preserve">    ---- </v>
      </c>
      <c r="H24" s="395"/>
      <c r="I24" s="393"/>
      <c r="J24" s="393"/>
      <c r="K24" s="394"/>
      <c r="L24" s="391"/>
      <c r="M24" s="391"/>
      <c r="N24" s="608"/>
      <c r="O24" s="392"/>
      <c r="P24" s="393"/>
      <c r="Q24" s="394">
        <v>510.96088317000005</v>
      </c>
      <c r="R24" s="391">
        <v>720.64763240999991</v>
      </c>
      <c r="S24" s="393">
        <f t="shared" si="0"/>
        <v>41</v>
      </c>
      <c r="T24" s="390"/>
      <c r="U24" s="391"/>
      <c r="V24" s="393"/>
      <c r="W24" s="394">
        <v>0</v>
      </c>
      <c r="X24" s="391">
        <v>0</v>
      </c>
      <c r="Y24" s="393"/>
      <c r="Z24" s="394">
        <v>-9</v>
      </c>
      <c r="AA24" s="391">
        <v>10</v>
      </c>
      <c r="AB24" s="393">
        <f t="shared" si="5"/>
        <v>-211.1</v>
      </c>
      <c r="AC24" s="394"/>
      <c r="AD24" s="391"/>
      <c r="AE24" s="393"/>
      <c r="AF24" s="394">
        <v>0.68200000000000005</v>
      </c>
      <c r="AG24" s="391">
        <v>0</v>
      </c>
      <c r="AH24" s="393"/>
      <c r="AI24" s="390">
        <v>961.2</v>
      </c>
      <c r="AJ24" s="391">
        <v>1003</v>
      </c>
      <c r="AK24" s="393">
        <f t="shared" si="6"/>
        <v>4.3</v>
      </c>
      <c r="AL24" s="394">
        <f t="shared" si="7"/>
        <v>1463.8428831700001</v>
      </c>
      <c r="AM24" s="394">
        <f t="shared" si="7"/>
        <v>1733.6476324099999</v>
      </c>
      <c r="AN24" s="393">
        <f t="shared" si="2"/>
        <v>18.399999999999999</v>
      </c>
      <c r="AO24" s="394">
        <f t="shared" si="8"/>
        <v>1463.8428831700001</v>
      </c>
      <c r="AP24" s="394">
        <f t="shared" si="8"/>
        <v>1733.6476324099999</v>
      </c>
      <c r="AQ24" s="393">
        <f t="shared" si="3"/>
        <v>18.399999999999999</v>
      </c>
      <c r="AR24" s="450"/>
      <c r="AS24" s="450"/>
    </row>
    <row r="25" spans="1:46" s="451" customFormat="1" ht="20.100000000000001" customHeight="1" x14ac:dyDescent="0.3">
      <c r="A25" s="416" t="s">
        <v>207</v>
      </c>
      <c r="B25" s="395"/>
      <c r="C25" s="393"/>
      <c r="D25" s="393"/>
      <c r="E25" s="395">
        <v>-8.016</v>
      </c>
      <c r="F25" s="393">
        <v>4.9984185500000002</v>
      </c>
      <c r="G25" s="393">
        <f t="shared" si="4"/>
        <v>-162.4</v>
      </c>
      <c r="H25" s="395">
        <v>22</v>
      </c>
      <c r="I25" s="393">
        <v>25.234999999999999</v>
      </c>
      <c r="J25" s="393">
        <f t="shared" si="9"/>
        <v>14.7</v>
      </c>
      <c r="K25" s="394"/>
      <c r="L25" s="391">
        <v>1.4</v>
      </c>
      <c r="M25" s="391"/>
      <c r="N25" s="608">
        <v>145</v>
      </c>
      <c r="O25" s="392">
        <v>147.51286438</v>
      </c>
      <c r="P25" s="393">
        <f t="shared" si="11"/>
        <v>1.7</v>
      </c>
      <c r="Q25" s="394">
        <v>1.1861794999999999</v>
      </c>
      <c r="R25" s="391">
        <v>4.2682984299999998</v>
      </c>
      <c r="S25" s="393">
        <f t="shared" si="0"/>
        <v>259.8</v>
      </c>
      <c r="T25" s="390"/>
      <c r="U25" s="391"/>
      <c r="V25" s="393"/>
      <c r="W25" s="394">
        <v>0</v>
      </c>
      <c r="X25" s="391">
        <v>335</v>
      </c>
      <c r="Y25" s="393"/>
      <c r="Z25" s="394"/>
      <c r="AA25" s="391"/>
      <c r="AB25" s="393"/>
      <c r="AC25" s="394">
        <v>54</v>
      </c>
      <c r="AD25" s="391">
        <v>69.567778559999994</v>
      </c>
      <c r="AE25" s="335">
        <f>IF(AC25=0, "    ---- ", IF(ABS(ROUND(100/AC25*AD25-100,1))&lt;999,ROUND(100/AC25*AD25-100,1),IF(ROUND(100/AC25*AD25-100,1)&gt;999,999,-999)))</f>
        <v>28.8</v>
      </c>
      <c r="AF25" s="394">
        <v>475.29199999999997</v>
      </c>
      <c r="AG25" s="391">
        <v>630.33900000000006</v>
      </c>
      <c r="AH25" s="393">
        <f t="shared" si="1"/>
        <v>32.6</v>
      </c>
      <c r="AI25" s="390"/>
      <c r="AJ25" s="391"/>
      <c r="AK25" s="393" t="str">
        <f t="shared" si="6"/>
        <v xml:space="preserve">    ---- </v>
      </c>
      <c r="AL25" s="394">
        <f t="shared" si="7"/>
        <v>490.46217949999999</v>
      </c>
      <c r="AM25" s="394">
        <f t="shared" si="7"/>
        <v>1001.2407169800001</v>
      </c>
      <c r="AN25" s="393">
        <f t="shared" si="2"/>
        <v>104.1</v>
      </c>
      <c r="AO25" s="394">
        <f t="shared" si="8"/>
        <v>689.46217950000005</v>
      </c>
      <c r="AP25" s="394">
        <f t="shared" si="8"/>
        <v>1218.3213599199998</v>
      </c>
      <c r="AQ25" s="393">
        <f t="shared" si="3"/>
        <v>76.7</v>
      </c>
      <c r="AR25" s="450"/>
      <c r="AS25" s="450"/>
    </row>
    <row r="26" spans="1:46" s="451" customFormat="1" ht="20.100000000000001" customHeight="1" x14ac:dyDescent="0.3">
      <c r="A26" s="416" t="s">
        <v>208</v>
      </c>
      <c r="B26" s="395"/>
      <c r="C26" s="393"/>
      <c r="D26" s="393"/>
      <c r="E26" s="395"/>
      <c r="F26" s="393"/>
      <c r="G26" s="393"/>
      <c r="H26" s="395"/>
      <c r="I26" s="393"/>
      <c r="J26" s="393"/>
      <c r="K26" s="394"/>
      <c r="L26" s="391"/>
      <c r="M26" s="391"/>
      <c r="N26" s="608"/>
      <c r="O26" s="392"/>
      <c r="P26" s="393"/>
      <c r="Q26" s="394"/>
      <c r="R26" s="391"/>
      <c r="S26" s="393"/>
      <c r="T26" s="390"/>
      <c r="U26" s="391"/>
      <c r="V26" s="393"/>
      <c r="W26" s="394"/>
      <c r="X26" s="391"/>
      <c r="Y26" s="393"/>
      <c r="Z26" s="394"/>
      <c r="AA26" s="391"/>
      <c r="AB26" s="393"/>
      <c r="AC26" s="394"/>
      <c r="AD26" s="391"/>
      <c r="AE26" s="393"/>
      <c r="AF26" s="394"/>
      <c r="AG26" s="391"/>
      <c r="AH26" s="393"/>
      <c r="AI26" s="390"/>
      <c r="AJ26" s="391"/>
      <c r="AK26" s="393"/>
      <c r="AL26" s="394">
        <f t="shared" si="7"/>
        <v>0</v>
      </c>
      <c r="AM26" s="394">
        <f t="shared" si="7"/>
        <v>0</v>
      </c>
      <c r="AN26" s="393" t="str">
        <f t="shared" si="2"/>
        <v xml:space="preserve">    ---- </v>
      </c>
      <c r="AO26" s="394">
        <f t="shared" si="8"/>
        <v>0</v>
      </c>
      <c r="AP26" s="394">
        <f t="shared" si="8"/>
        <v>0</v>
      </c>
      <c r="AQ26" s="393" t="str">
        <f t="shared" si="3"/>
        <v xml:space="preserve">    ---- </v>
      </c>
      <c r="AR26" s="450"/>
      <c r="AS26" s="450"/>
    </row>
    <row r="27" spans="1:46" s="451" customFormat="1" ht="20.100000000000001" customHeight="1" x14ac:dyDescent="0.3">
      <c r="A27" s="417" t="s">
        <v>209</v>
      </c>
      <c r="B27" s="395">
        <v>236.45500000000001</v>
      </c>
      <c r="C27" s="393">
        <f>SUM(C14+C15+C16+C20+C26)</f>
        <v>243.90200000000002</v>
      </c>
      <c r="D27" s="393">
        <f>IF(B27=0, "    ---- ", IF(ABS(ROUND(100/B27*C27-100,1))&lt;999,ROUND(100/B27*C27-100,1),IF(ROUND(100/B27*C27-100,1)&gt;999,999,-999)))</f>
        <v>3.1</v>
      </c>
      <c r="E27" s="395">
        <v>30780.032999999999</v>
      </c>
      <c r="F27" s="393">
        <f>SUM(F14+F15+F16+F20+F26)</f>
        <v>31263.065225220002</v>
      </c>
      <c r="G27" s="393">
        <f t="shared" si="4"/>
        <v>1.6</v>
      </c>
      <c r="H27" s="395">
        <v>157.4</v>
      </c>
      <c r="I27" s="393">
        <f>SUM(I14+I15+I16+I20+I26)</f>
        <v>194.76300000000001</v>
      </c>
      <c r="J27" s="393">
        <f t="shared" si="9"/>
        <v>23.7</v>
      </c>
      <c r="K27" s="394">
        <f>SUM(K14+K15+K16+K20+K26)</f>
        <v>934</v>
      </c>
      <c r="L27" s="391">
        <f>SUM(L14+L15+L16+L20+L26)</f>
        <v>922.09999999999991</v>
      </c>
      <c r="M27" s="391">
        <f t="shared" si="10"/>
        <v>-1.3</v>
      </c>
      <c r="N27" s="608">
        <v>145</v>
      </c>
      <c r="O27" s="392">
        <f>SUM(O14+O15+O16+O20+O26)</f>
        <v>147.51286438</v>
      </c>
      <c r="P27" s="393">
        <f t="shared" si="11"/>
        <v>1.7</v>
      </c>
      <c r="Q27" s="394">
        <v>35634.287844769999</v>
      </c>
      <c r="R27" s="391">
        <f>SUM(R14+R15+R16+R20+R26)</f>
        <v>39276.85166606</v>
      </c>
      <c r="S27" s="393">
        <f t="shared" si="0"/>
        <v>10.199999999999999</v>
      </c>
      <c r="T27" s="390">
        <v>506.149</v>
      </c>
      <c r="U27" s="391">
        <f>SUM(U14+U15+U16+U20+U26)</f>
        <v>491.65199999999999</v>
      </c>
      <c r="V27" s="393">
        <f t="shared" si="12"/>
        <v>-2.9</v>
      </c>
      <c r="W27" s="394">
        <v>10042.89</v>
      </c>
      <c r="X27" s="391">
        <f>SUM(X14+X15+X16+X20+X26)</f>
        <v>10849.5</v>
      </c>
      <c r="Y27" s="393">
        <f t="shared" si="13"/>
        <v>8</v>
      </c>
      <c r="Z27" s="394">
        <v>8692</v>
      </c>
      <c r="AA27" s="391">
        <f>SUM(AA14+AA15+AA16+AA20+AA26)</f>
        <v>9292</v>
      </c>
      <c r="AB27" s="393">
        <f t="shared" si="5"/>
        <v>6.9</v>
      </c>
      <c r="AC27" s="394">
        <v>54</v>
      </c>
      <c r="AD27" s="391">
        <f>SUM(AD14+AD15+AD16+AD20+AD26)</f>
        <v>69.567778559999994</v>
      </c>
      <c r="AE27" s="335">
        <f>IF(AC27=0, "    ---- ", IF(ABS(ROUND(100/AC27*AD27-100,1))&lt;999,ROUND(100/AC27*AD27-100,1),IF(ROUND(100/AC27*AD27-100,1)&gt;999,999,-999)))</f>
        <v>28.8</v>
      </c>
      <c r="AF27" s="394">
        <f>SUM(AF14+AF15+AF16+AF20+AF26)</f>
        <v>5756.6009999999997</v>
      </c>
      <c r="AG27" s="391">
        <f>SUM(AG14+AG15+AG16+AG20+AG26)</f>
        <v>7172.27</v>
      </c>
      <c r="AH27" s="393">
        <f t="shared" si="1"/>
        <v>24.6</v>
      </c>
      <c r="AI27" s="390">
        <f>SUM(AI14+AI15+AI16+AI20+AI26)</f>
        <v>32614.400000000001</v>
      </c>
      <c r="AJ27" s="391">
        <f>SUM(AJ14+AJ15+AJ16+AJ20+AJ26)</f>
        <v>31942</v>
      </c>
      <c r="AK27" s="393">
        <f t="shared" si="6"/>
        <v>-2.1</v>
      </c>
      <c r="AL27" s="394">
        <f t="shared" si="7"/>
        <v>125354.21584476999</v>
      </c>
      <c r="AM27" s="394">
        <f t="shared" si="7"/>
        <v>131648.10389128001</v>
      </c>
      <c r="AN27" s="393">
        <f t="shared" si="2"/>
        <v>5</v>
      </c>
      <c r="AO27" s="394">
        <f t="shared" si="8"/>
        <v>125553.21584476999</v>
      </c>
      <c r="AP27" s="394">
        <f t="shared" si="8"/>
        <v>131865.18453422</v>
      </c>
      <c r="AQ27" s="393">
        <f t="shared" si="3"/>
        <v>5</v>
      </c>
      <c r="AR27" s="450"/>
      <c r="AS27" s="450"/>
    </row>
    <row r="28" spans="1:46" s="451" customFormat="1" ht="20.100000000000001" customHeight="1" x14ac:dyDescent="0.3">
      <c r="A28" s="416" t="s">
        <v>210</v>
      </c>
      <c r="B28" s="395">
        <v>241.16899999999998</v>
      </c>
      <c r="C28" s="393">
        <f>70.592+228.1+2.86</f>
        <v>301.55200000000002</v>
      </c>
      <c r="D28" s="393">
        <f>IF(B28=0, "    ---- ", IF(ABS(ROUND(100/B28*C28-100,1))&lt;999,ROUND(100/B28*C28-100,1),IF(ROUND(100/B28*C28-100,1)&gt;999,999,-999)))</f>
        <v>25</v>
      </c>
      <c r="E28" s="395">
        <v>919.72600000000011</v>
      </c>
      <c r="F28" s="393">
        <v>923.05499999999995</v>
      </c>
      <c r="G28" s="393">
        <f t="shared" si="4"/>
        <v>0.4</v>
      </c>
      <c r="H28" s="395">
        <v>378.6</v>
      </c>
      <c r="I28" s="393">
        <v>415.44</v>
      </c>
      <c r="J28" s="393">
        <f t="shared" si="9"/>
        <v>9.6999999999999993</v>
      </c>
      <c r="K28" s="394">
        <f>51+144+142+13</f>
        <v>350</v>
      </c>
      <c r="L28" s="391">
        <f>58.6+132.6+208.6+13.8</f>
        <v>413.59999999999997</v>
      </c>
      <c r="M28" s="391">
        <f t="shared" si="10"/>
        <v>18.2</v>
      </c>
      <c r="N28" s="608"/>
      <c r="O28" s="392"/>
      <c r="P28" s="393"/>
      <c r="Q28" s="394">
        <v>11470.465678930001</v>
      </c>
      <c r="R28" s="391">
        <v>10917.25841618</v>
      </c>
      <c r="S28" s="393">
        <f t="shared" si="0"/>
        <v>-4.8</v>
      </c>
      <c r="T28" s="390">
        <v>44.244999999999997</v>
      </c>
      <c r="U28" s="391">
        <v>29.068999999999999</v>
      </c>
      <c r="V28" s="393">
        <f t="shared" si="12"/>
        <v>-34.299999999999997</v>
      </c>
      <c r="W28" s="394">
        <v>836</v>
      </c>
      <c r="X28" s="391">
        <v>221</v>
      </c>
      <c r="Y28" s="393">
        <f t="shared" si="13"/>
        <v>-73.599999999999994</v>
      </c>
      <c r="Z28" s="394">
        <v>1250</v>
      </c>
      <c r="AA28" s="391">
        <f>75+1159+29+19</f>
        <v>1282</v>
      </c>
      <c r="AB28" s="393">
        <f t="shared" si="5"/>
        <v>2.6</v>
      </c>
      <c r="AC28" s="394"/>
      <c r="AD28" s="391"/>
      <c r="AE28" s="393"/>
      <c r="AF28" s="394">
        <v>583.51400000000001</v>
      </c>
      <c r="AG28" s="391">
        <v>563.61500000000001</v>
      </c>
      <c r="AH28" s="393">
        <f t="shared" si="1"/>
        <v>-3.4</v>
      </c>
      <c r="AI28" s="390">
        <f>355.6+1300.5+1576.1+24.6</f>
        <v>3256.7999999999997</v>
      </c>
      <c r="AJ28" s="391">
        <f>340+2995+2799+99</f>
        <v>6233</v>
      </c>
      <c r="AK28" s="393">
        <f t="shared" si="6"/>
        <v>91.4</v>
      </c>
      <c r="AL28" s="394">
        <f t="shared" si="7"/>
        <v>19330.519678930003</v>
      </c>
      <c r="AM28" s="394">
        <f t="shared" si="7"/>
        <v>21299.589416180002</v>
      </c>
      <c r="AN28" s="393">
        <f t="shared" si="2"/>
        <v>10.199999999999999</v>
      </c>
      <c r="AO28" s="394">
        <f t="shared" si="8"/>
        <v>19330.519678930003</v>
      </c>
      <c r="AP28" s="394">
        <f t="shared" si="8"/>
        <v>21299.589416180002</v>
      </c>
      <c r="AQ28" s="393">
        <f t="shared" si="3"/>
        <v>10.199999999999999</v>
      </c>
      <c r="AR28" s="450"/>
      <c r="AS28" s="450"/>
    </row>
    <row r="29" spans="1:46" s="451" customFormat="1" ht="20.100000000000001" customHeight="1" x14ac:dyDescent="0.3">
      <c r="A29" s="416" t="s">
        <v>211</v>
      </c>
      <c r="B29" s="395">
        <v>477.62400000000002</v>
      </c>
      <c r="C29" s="393">
        <f>SUM(C27+C28)</f>
        <v>545.45400000000006</v>
      </c>
      <c r="D29" s="393">
        <f>IF(B29=0, "    ---- ", IF(ABS(ROUND(100/B29*C29-100,1))&lt;999,ROUND(100/B29*C29-100,1),IF(ROUND(100/B29*C29-100,1)&gt;999,999,-999)))</f>
        <v>14.2</v>
      </c>
      <c r="E29" s="395">
        <v>31699.758999999998</v>
      </c>
      <c r="F29" s="393">
        <f>SUM(F27+F28)</f>
        <v>32186.120225220002</v>
      </c>
      <c r="G29" s="393">
        <f>IF(E29=0, "    ---- ", IF(ABS(ROUND(100/E29*F29-100,1))&lt;999,ROUND(100/E29*F29-100,1),IF(ROUND(100/E29*F29-100,1)&gt;999,999,-999)))</f>
        <v>1.5</v>
      </c>
      <c r="H29" s="395">
        <v>536</v>
      </c>
      <c r="I29" s="393">
        <f>SUM(I27+I28)</f>
        <v>610.20299999999997</v>
      </c>
      <c r="J29" s="393">
        <f>IF(H29=0, "    ---- ", IF(ABS(ROUND(100/H29*I29-100,1))&lt;999,ROUND(100/H29*I29-100,1),IF(ROUND(100/H29*I29-100,1)&gt;999,999,-999)))</f>
        <v>13.8</v>
      </c>
      <c r="K29" s="395">
        <f>SUM(K27+K28)</f>
        <v>1284</v>
      </c>
      <c r="L29" s="393">
        <f>SUM(L27+L28)</f>
        <v>1335.6999999999998</v>
      </c>
      <c r="M29" s="393">
        <f>IF(K29=0, "    ---- ", IF(ABS(ROUND(100/K29*L29-100,1))&lt;999,ROUND(100/K29*L29-100,1),IF(ROUND(100/K29*L29-100,1)&gt;999,999,-999)))</f>
        <v>4</v>
      </c>
      <c r="N29" s="395">
        <v>145</v>
      </c>
      <c r="O29" s="393">
        <f>SUM(O27+O28)</f>
        <v>147.51286438</v>
      </c>
      <c r="P29" s="393">
        <f>IF(N29=0, "    ---- ", IF(ABS(ROUND(100/N29*O29-100,1))&lt;999,ROUND(100/N29*O29-100,1),IF(ROUND(100/N29*O29-100,1)&gt;999,999,-999)))</f>
        <v>1.7</v>
      </c>
      <c r="Q29" s="395">
        <v>47104.753523699997</v>
      </c>
      <c r="R29" s="393">
        <f>SUM(R27+R28)</f>
        <v>50194.110082240004</v>
      </c>
      <c r="S29" s="393">
        <f>IF(Q29=0, "    ---- ", IF(ABS(ROUND(100/Q29*R29-100,1))&lt;999,ROUND(100/Q29*R29-100,1),IF(ROUND(100/Q29*R29-100,1)&gt;999,999,-999)))</f>
        <v>6.6</v>
      </c>
      <c r="T29" s="568">
        <v>550.39400000000001</v>
      </c>
      <c r="U29" s="393">
        <f>SUM(U27+U28)</f>
        <v>520.721</v>
      </c>
      <c r="V29" s="393">
        <f>IF(T29=0, "    ---- ", IF(ABS(ROUND(100/T29*U29-100,1))&lt;999,ROUND(100/T29*U29-100,1),IF(ROUND(100/T29*U29-100,1)&gt;999,999,-999)))</f>
        <v>-5.4</v>
      </c>
      <c r="W29" s="395">
        <v>10878.89</v>
      </c>
      <c r="X29" s="393">
        <f>SUM(X27+X28)</f>
        <v>11070.5</v>
      </c>
      <c r="Y29" s="393">
        <f>IF(W29=0, "    ---- ", IF(ABS(ROUND(100/W29*X29-100,1))&lt;999,ROUND(100/W29*X29-100,1),IF(ROUND(100/W29*X29-100,1)&gt;999,999,-999)))</f>
        <v>1.8</v>
      </c>
      <c r="Z29" s="395">
        <v>9942</v>
      </c>
      <c r="AA29" s="393">
        <f>SUM(AA27+AA28)</f>
        <v>10574</v>
      </c>
      <c r="AB29" s="393">
        <f>IF(Z29=0, "    ---- ", IF(ABS(ROUND(100/Z29*AA29-100,1))&lt;999,ROUND(100/Z29*AA29-100,1),IF(ROUND(100/Z29*AA29-100,1)&gt;999,999,-999)))</f>
        <v>6.4</v>
      </c>
      <c r="AC29" s="395">
        <v>54</v>
      </c>
      <c r="AD29" s="393">
        <f>SUM(AD27+AD28)</f>
        <v>69.567778559999994</v>
      </c>
      <c r="AE29" s="393">
        <f>IF(AC29=0, "    ---- ", IF(ABS(ROUND(100/AC29*AD29-100,1))&lt;999,ROUND(100/AC29*AD29-100,1),IF(ROUND(100/AC29*AD29-100,1)&gt;999,999,-999)))</f>
        <v>28.8</v>
      </c>
      <c r="AF29" s="395">
        <f>SUM(AF27+AF28)</f>
        <v>6340.1149999999998</v>
      </c>
      <c r="AG29" s="393">
        <f>SUM(AG27+AG28)</f>
        <v>7735.8850000000002</v>
      </c>
      <c r="AH29" s="393">
        <f>IF(AF29=0, "    ---- ", IF(ABS(ROUND(100/AF29*AG29-100,1))&lt;999,ROUND(100/AF29*AG29-100,1),IF(ROUND(100/AF29*AG29-100,1)&gt;999,999,-999)))</f>
        <v>22</v>
      </c>
      <c r="AI29" s="568">
        <f>SUM(AI27+AI28)</f>
        <v>35871.200000000004</v>
      </c>
      <c r="AJ29" s="393">
        <f>SUM(AJ27+AJ28)</f>
        <v>38175</v>
      </c>
      <c r="AK29" s="393">
        <f>IF(AI29=0, "    ---- ", IF(ABS(ROUND(100/AI29*AJ29-100,1))&lt;999,ROUND(100/AI29*AJ29-100,1),IF(ROUND(100/AI29*AJ29-100,1)&gt;999,999,-999)))</f>
        <v>6.4</v>
      </c>
      <c r="AL29" s="394">
        <f t="shared" si="7"/>
        <v>144684.73552370002</v>
      </c>
      <c r="AM29" s="394">
        <f t="shared" si="7"/>
        <v>152947.69330745999</v>
      </c>
      <c r="AN29" s="393">
        <f>IF(AL29=0, "    ---- ", IF(ABS(ROUND(100/AL29*AM29-100,1))&lt;999,ROUND(100/AL29*AM29-100,1),IF(ROUND(100/AL29*AM29-100,1)&gt;999,999,-999)))</f>
        <v>5.7</v>
      </c>
      <c r="AO29" s="394">
        <f t="shared" si="8"/>
        <v>144883.73552370002</v>
      </c>
      <c r="AP29" s="394">
        <f t="shared" si="8"/>
        <v>153164.77395040001</v>
      </c>
      <c r="AQ29" s="396">
        <f t="shared" si="3"/>
        <v>5.7</v>
      </c>
      <c r="AR29" s="450"/>
      <c r="AS29" s="450"/>
      <c r="AT29" s="452"/>
    </row>
    <row r="30" spans="1:46" s="422" customFormat="1" ht="20.100000000000001" customHeight="1" x14ac:dyDescent="0.3">
      <c r="A30" s="416"/>
      <c r="B30" s="383"/>
      <c r="C30" s="381"/>
      <c r="D30" s="397"/>
      <c r="E30" s="383"/>
      <c r="F30" s="381"/>
      <c r="G30" s="397"/>
      <c r="H30" s="383"/>
      <c r="I30" s="381"/>
      <c r="J30" s="397"/>
      <c r="K30" s="399"/>
      <c r="L30" s="397"/>
      <c r="M30" s="381"/>
      <c r="N30" s="383"/>
      <c r="O30" s="381"/>
      <c r="P30" s="335"/>
      <c r="Q30" s="383"/>
      <c r="R30" s="381"/>
      <c r="S30" s="335"/>
      <c r="T30" s="566"/>
      <c r="U30" s="381"/>
      <c r="V30" s="335"/>
      <c r="W30" s="383"/>
      <c r="X30" s="381"/>
      <c r="Y30" s="335"/>
      <c r="Z30" s="383"/>
      <c r="AA30" s="381"/>
      <c r="AB30" s="335"/>
      <c r="AC30" s="383"/>
      <c r="AD30" s="381"/>
      <c r="AE30" s="335"/>
      <c r="AF30" s="383"/>
      <c r="AG30" s="381"/>
      <c r="AH30" s="335"/>
      <c r="AI30" s="566"/>
      <c r="AJ30" s="381"/>
      <c r="AK30" s="335"/>
      <c r="AL30" s="383"/>
      <c r="AM30" s="383"/>
      <c r="AN30" s="335"/>
      <c r="AO30" s="383"/>
      <c r="AP30" s="383"/>
      <c r="AQ30" s="398"/>
      <c r="AR30" s="449"/>
      <c r="AS30" s="449"/>
    </row>
    <row r="31" spans="1:46" s="422" customFormat="1" ht="20.100000000000001" customHeight="1" x14ac:dyDescent="0.3">
      <c r="A31" s="414" t="s">
        <v>212</v>
      </c>
      <c r="B31" s="399"/>
      <c r="C31" s="397"/>
      <c r="D31" s="397"/>
      <c r="E31" s="399"/>
      <c r="F31" s="397"/>
      <c r="G31" s="397"/>
      <c r="H31" s="399"/>
      <c r="I31" s="397"/>
      <c r="J31" s="397"/>
      <c r="K31" s="399"/>
      <c r="L31" s="397"/>
      <c r="M31" s="381"/>
      <c r="N31" s="399"/>
      <c r="O31" s="397"/>
      <c r="P31" s="335"/>
      <c r="Q31" s="399"/>
      <c r="R31" s="397"/>
      <c r="S31" s="335"/>
      <c r="T31" s="585"/>
      <c r="U31" s="397"/>
      <c r="V31" s="335"/>
      <c r="W31" s="399"/>
      <c r="X31" s="397"/>
      <c r="Y31" s="335"/>
      <c r="Z31" s="399"/>
      <c r="AA31" s="397"/>
      <c r="AB31" s="335"/>
      <c r="AC31" s="399"/>
      <c r="AD31" s="397"/>
      <c r="AE31" s="335"/>
      <c r="AF31" s="399"/>
      <c r="AG31" s="397"/>
      <c r="AH31" s="335"/>
      <c r="AI31" s="585"/>
      <c r="AJ31" s="397"/>
      <c r="AK31" s="335"/>
      <c r="AL31" s="383"/>
      <c r="AM31" s="383"/>
      <c r="AN31" s="335"/>
      <c r="AO31" s="383"/>
      <c r="AP31" s="383"/>
      <c r="AQ31" s="398"/>
      <c r="AR31" s="449"/>
      <c r="AS31" s="449"/>
    </row>
    <row r="32" spans="1:46" s="422" customFormat="1" ht="20.100000000000001" customHeight="1" x14ac:dyDescent="0.3">
      <c r="A32" s="414" t="s">
        <v>213</v>
      </c>
      <c r="B32" s="399"/>
      <c r="C32" s="397"/>
      <c r="D32" s="335"/>
      <c r="E32" s="399"/>
      <c r="F32" s="397"/>
      <c r="G32" s="335"/>
      <c r="H32" s="399"/>
      <c r="I32" s="397"/>
      <c r="J32" s="335"/>
      <c r="K32" s="399"/>
      <c r="L32" s="397"/>
      <c r="M32" s="381"/>
      <c r="N32" s="399"/>
      <c r="O32" s="397"/>
      <c r="P32" s="335"/>
      <c r="Q32" s="399"/>
      <c r="R32" s="397"/>
      <c r="S32" s="335"/>
      <c r="T32" s="585"/>
      <c r="U32" s="397"/>
      <c r="V32" s="335"/>
      <c r="W32" s="399"/>
      <c r="X32" s="397"/>
      <c r="Y32" s="335"/>
      <c r="Z32" s="399"/>
      <c r="AA32" s="397"/>
      <c r="AB32" s="335"/>
      <c r="AC32" s="399"/>
      <c r="AD32" s="397"/>
      <c r="AE32" s="335"/>
      <c r="AF32" s="399"/>
      <c r="AG32" s="397"/>
      <c r="AH32" s="335"/>
      <c r="AI32" s="585"/>
      <c r="AJ32" s="397"/>
      <c r="AK32" s="335"/>
      <c r="AL32" s="383"/>
      <c r="AM32" s="383"/>
      <c r="AN32" s="335"/>
      <c r="AO32" s="383"/>
      <c r="AP32" s="383"/>
      <c r="AQ32" s="398"/>
      <c r="AR32" s="449"/>
      <c r="AS32" s="449"/>
    </row>
    <row r="33" spans="1:46" s="422" customFormat="1" ht="20.100000000000001" customHeight="1" x14ac:dyDescent="0.3">
      <c r="A33" s="416" t="s">
        <v>214</v>
      </c>
      <c r="B33" s="399"/>
      <c r="C33" s="397"/>
      <c r="D33" s="397"/>
      <c r="E33" s="399">
        <v>33.491</v>
      </c>
      <c r="F33" s="397">
        <v>26.206172710000001</v>
      </c>
      <c r="G33" s="397">
        <f t="shared" ref="G33:G91" si="14">IF(E33=0, "    ---- ", IF(ABS(ROUND(100/E33*F33-100,1))&lt;999,ROUND(100/E33*F33-100,1),IF(ROUND(100/E33*F33-100,1)&gt;999,999,-999)))</f>
        <v>-21.8</v>
      </c>
      <c r="H33" s="399"/>
      <c r="I33" s="397"/>
      <c r="J33" s="397"/>
      <c r="K33" s="399"/>
      <c r="L33" s="397"/>
      <c r="M33" s="381"/>
      <c r="N33" s="399"/>
      <c r="O33" s="397"/>
      <c r="P33" s="335"/>
      <c r="Q33" s="399"/>
      <c r="R33" s="397"/>
      <c r="S33" s="335"/>
      <c r="T33" s="585"/>
      <c r="U33" s="397"/>
      <c r="V33" s="335"/>
      <c r="W33" s="399"/>
      <c r="X33" s="397">
        <v>1.9699999999999998E-6</v>
      </c>
      <c r="Y33" s="335"/>
      <c r="Z33" s="399"/>
      <c r="AA33" s="397"/>
      <c r="AB33" s="335" t="str">
        <f t="shared" ref="AB33:AB42" si="15">IF(Z33=0, "    ---- ", IF(ABS(ROUND(100/Z33*AA33-100,1))&lt;999,ROUND(100/Z33*AA33-100,1),IF(ROUND(100/Z33*AA33-100,1)&gt;999,999,-999)))</f>
        <v xml:space="preserve">    ---- </v>
      </c>
      <c r="AC33" s="399"/>
      <c r="AD33" s="397"/>
      <c r="AE33" s="335"/>
      <c r="AF33" s="399">
        <v>0.99299999999999999</v>
      </c>
      <c r="AG33" s="397"/>
      <c r="AH33" s="335">
        <f t="shared" ref="AH33:AH91" si="16">IF(AF33=0, "    ---- ", IF(ABS(ROUND(100/AF33*AG33-100,1))&lt;999,ROUND(100/AF33*AG33-100,1),IF(ROUND(100/AF33*AG33-100,1)&gt;999,999,-999)))</f>
        <v>-100</v>
      </c>
      <c r="AI33" s="585"/>
      <c r="AJ33" s="397"/>
      <c r="AK33" s="335"/>
      <c r="AL33" s="394">
        <f t="shared" ref="AL33:AM46" si="17">B33+E33+H33+K33+Q33+T33+W33+Z33+AF33+AI33</f>
        <v>34.484000000000002</v>
      </c>
      <c r="AM33" s="394">
        <f t="shared" si="17"/>
        <v>26.20617468</v>
      </c>
      <c r="AN33" s="335">
        <f t="shared" ref="AN33:AN91" si="18">IF(AL33=0, "    ---- ", IF(ABS(ROUND(100/AL33*AM33-100,1))&lt;999,ROUND(100/AL33*AM33-100,1),IF(ROUND(100/AL33*AM33-100,1)&gt;999,999,-999)))</f>
        <v>-24</v>
      </c>
      <c r="AO33" s="394">
        <f t="shared" ref="AO33:AP46" si="19">B33+E33+H33+K33+N33+Q33+T33+W33+Z33+AC33+AF33+AI33</f>
        <v>34.484000000000002</v>
      </c>
      <c r="AP33" s="394">
        <f t="shared" si="19"/>
        <v>26.20617468</v>
      </c>
      <c r="AQ33" s="398">
        <f t="shared" ref="AQ33:AQ91" si="20">IF(AO33=0, "    ---- ", IF(ABS(ROUND(100/AO33*AP33-100,1))&lt;999,ROUND(100/AO33*AP33-100,1),IF(ROUND(100/AO33*AP33-100,1)&gt;999,999,-999)))</f>
        <v>-24</v>
      </c>
      <c r="AR33" s="449"/>
      <c r="AS33" s="449"/>
      <c r="AT33" s="453"/>
    </row>
    <row r="34" spans="1:46" s="422" customFormat="1" ht="20.100000000000001" customHeight="1" x14ac:dyDescent="0.3">
      <c r="A34" s="416" t="s">
        <v>215</v>
      </c>
      <c r="B34" s="399"/>
      <c r="C34" s="397"/>
      <c r="D34" s="397"/>
      <c r="E34" s="399">
        <v>20803.348000000002</v>
      </c>
      <c r="F34" s="397">
        <v>26517.276313969996</v>
      </c>
      <c r="G34" s="397">
        <f t="shared" si="14"/>
        <v>27.5</v>
      </c>
      <c r="H34" s="399"/>
      <c r="I34" s="397"/>
      <c r="J34" s="397"/>
      <c r="K34" s="399">
        <v>872</v>
      </c>
      <c r="L34" s="397">
        <v>922.2</v>
      </c>
      <c r="M34" s="381"/>
      <c r="N34" s="399"/>
      <c r="O34" s="397"/>
      <c r="P34" s="335"/>
      <c r="Q34" s="399">
        <v>60385.22796425</v>
      </c>
      <c r="R34" s="397">
        <v>66535.632718749999</v>
      </c>
      <c r="S34" s="335">
        <f>IF(Q34=0, "    ---- ", IF(ABS(ROUND(100/Q34*R34-100,1))&lt;999,ROUND(100/Q34*R34-100,1),IF(ROUND(100/Q34*R34-100,1)&gt;999,999,-999)))</f>
        <v>10.199999999999999</v>
      </c>
      <c r="T34" s="585">
        <v>203.32400000000001</v>
      </c>
      <c r="U34" s="397">
        <v>206.2</v>
      </c>
      <c r="V34" s="335">
        <f>IF(T34=0, "    ---- ", IF(ABS(ROUND(100/T34*U34-100,1))&lt;999,ROUND(100/T34*U34-100,1),IF(ROUND(100/T34*U34-100,1)&gt;999,999,-999)))</f>
        <v>1.4</v>
      </c>
      <c r="W34" s="399">
        <v>6189.5518490700006</v>
      </c>
      <c r="X34" s="397">
        <v>7379.435536070001</v>
      </c>
      <c r="Y34" s="335">
        <f t="shared" ref="Y34:Y91" si="21">IF(W34=0, "    ---- ", IF(ABS(ROUND(100/W34*X34-100,1))&lt;999,ROUND(100/W34*X34-100,1),IF(ROUND(100/W34*X34-100,1)&gt;999,999,-999)))</f>
        <v>19.2</v>
      </c>
      <c r="Z34" s="399">
        <v>13619</v>
      </c>
      <c r="AA34" s="397">
        <v>14843</v>
      </c>
      <c r="AB34" s="335">
        <f t="shared" si="15"/>
        <v>9</v>
      </c>
      <c r="AC34" s="399"/>
      <c r="AD34" s="397"/>
      <c r="AE34" s="335"/>
      <c r="AF34" s="399">
        <v>4220.5119999999997</v>
      </c>
      <c r="AG34" s="397">
        <v>4819.2349999999997</v>
      </c>
      <c r="AH34" s="335">
        <f t="shared" si="16"/>
        <v>14.2</v>
      </c>
      <c r="AI34" s="585">
        <v>20420.900000000001</v>
      </c>
      <c r="AJ34" s="397">
        <v>27244</v>
      </c>
      <c r="AK34" s="335">
        <f t="shared" ref="AK34:AK91" si="22">IF(AI34=0, "    ---- ", IF(ABS(ROUND(100/AI34*AJ34-100,1))&lt;999,ROUND(100/AI34*AJ34-100,1),IF(ROUND(100/AI34*AJ34-100,1)&gt;999,999,-999)))</f>
        <v>33.4</v>
      </c>
      <c r="AL34" s="394">
        <f t="shared" si="17"/>
        <v>126713.86381332</v>
      </c>
      <c r="AM34" s="394">
        <f t="shared" si="17"/>
        <v>148466.97956879</v>
      </c>
      <c r="AN34" s="335">
        <f t="shared" si="18"/>
        <v>17.2</v>
      </c>
      <c r="AO34" s="394">
        <f t="shared" si="19"/>
        <v>126713.86381332</v>
      </c>
      <c r="AP34" s="394">
        <f t="shared" si="19"/>
        <v>148466.97956879</v>
      </c>
      <c r="AQ34" s="398">
        <f t="shared" si="20"/>
        <v>17.2</v>
      </c>
      <c r="AR34" s="449"/>
      <c r="AS34" s="449"/>
      <c r="AT34" s="453"/>
    </row>
    <row r="35" spans="1:46" s="422" customFormat="1" ht="20.100000000000001" customHeight="1" x14ac:dyDescent="0.3">
      <c r="A35" s="416" t="s">
        <v>216</v>
      </c>
      <c r="B35" s="399">
        <v>0</v>
      </c>
      <c r="C35" s="397">
        <f>SUM(C36+C38)</f>
        <v>0</v>
      </c>
      <c r="D35" s="397"/>
      <c r="E35" s="399">
        <v>107129.842</v>
      </c>
      <c r="F35" s="397">
        <f>SUM(F36+F38)</f>
        <v>103239.97127760001</v>
      </c>
      <c r="G35" s="397">
        <f t="shared" si="14"/>
        <v>-3.6</v>
      </c>
      <c r="H35" s="399">
        <v>182.9</v>
      </c>
      <c r="I35" s="397">
        <f>SUM(I36+I38)</f>
        <v>218.642</v>
      </c>
      <c r="J35" s="397"/>
      <c r="K35" s="399">
        <f>SUM(K36+K38)</f>
        <v>4792</v>
      </c>
      <c r="L35" s="397">
        <f>SUM(L36+L38)</f>
        <v>5016</v>
      </c>
      <c r="M35" s="381">
        <f>IF(K35=0, "    ---- ", IF(ABS(ROUND(100/K35*L35-100,1))&lt;999,ROUND(100/K35*L35-100,1),IF(ROUND(100/K35*L35-100,1)&gt;999,999,-999)))</f>
        <v>4.7</v>
      </c>
      <c r="N35" s="399"/>
      <c r="O35" s="397"/>
      <c r="P35" s="335"/>
      <c r="Q35" s="399">
        <v>196476.70134108001</v>
      </c>
      <c r="R35" s="397">
        <f>SUM(R36+R38)</f>
        <v>217394.56140808002</v>
      </c>
      <c r="S35" s="335">
        <f>IF(Q35=0, "    ---- ", IF(ABS(ROUND(100/Q35*R35-100,1))&lt;999,ROUND(100/Q35*R35-100,1),IF(ROUND(100/Q35*R35-100,1)&gt;999,999,-999)))</f>
        <v>10.6</v>
      </c>
      <c r="T35" s="585">
        <v>1182.2650000000001</v>
      </c>
      <c r="U35" s="397">
        <v>1415.3009999999999</v>
      </c>
      <c r="V35" s="335">
        <f>IF(T35=0, "    ---- ", IF(ABS(ROUND(100/T35*U35-100,1))&lt;999,ROUND(100/T35*U35-100,1),IF(ROUND(100/T35*U35-100,1)&gt;999,999,-999)))</f>
        <v>19.7</v>
      </c>
      <c r="W35" s="399">
        <v>30293.372806009898</v>
      </c>
      <c r="X35" s="397">
        <f>SUM(X36+X38)</f>
        <v>32020.205661189902</v>
      </c>
      <c r="Y35" s="335">
        <f t="shared" si="21"/>
        <v>5.7</v>
      </c>
      <c r="Z35" s="399">
        <v>21813</v>
      </c>
      <c r="AA35" s="397">
        <f>SUM(AA36+AA38)</f>
        <v>22585</v>
      </c>
      <c r="AB35" s="335">
        <f t="shared" si="15"/>
        <v>3.5</v>
      </c>
      <c r="AC35" s="399"/>
      <c r="AD35" s="397"/>
      <c r="AE35" s="335"/>
      <c r="AF35" s="399">
        <f>SUM(AF36+AF38)</f>
        <v>8587.9930000000004</v>
      </c>
      <c r="AG35" s="397">
        <f>SUM(AG36+AG38)</f>
        <v>8314.4459999999999</v>
      </c>
      <c r="AH35" s="335">
        <f t="shared" si="16"/>
        <v>-3.2</v>
      </c>
      <c r="AI35" s="585">
        <f>SUM(AI36+AI38)</f>
        <v>125175.70000000001</v>
      </c>
      <c r="AJ35" s="397">
        <f>SUM(AJ36+AJ38)</f>
        <v>130388</v>
      </c>
      <c r="AK35" s="335">
        <f t="shared" si="22"/>
        <v>4.2</v>
      </c>
      <c r="AL35" s="394">
        <f t="shared" si="17"/>
        <v>495633.77414708992</v>
      </c>
      <c r="AM35" s="394">
        <f t="shared" si="17"/>
        <v>520592.12734686991</v>
      </c>
      <c r="AN35" s="335">
        <f t="shared" si="18"/>
        <v>5</v>
      </c>
      <c r="AO35" s="394">
        <f t="shared" si="19"/>
        <v>495633.77414708992</v>
      </c>
      <c r="AP35" s="394">
        <f t="shared" si="19"/>
        <v>520592.12734686991</v>
      </c>
      <c r="AQ35" s="398">
        <f t="shared" si="20"/>
        <v>5</v>
      </c>
      <c r="AR35" s="449"/>
      <c r="AS35" s="449"/>
      <c r="AT35" s="453"/>
    </row>
    <row r="36" spans="1:46" s="422" customFormat="1" ht="20.100000000000001" customHeight="1" x14ac:dyDescent="0.3">
      <c r="A36" s="416" t="s">
        <v>217</v>
      </c>
      <c r="B36" s="399"/>
      <c r="C36" s="397"/>
      <c r="D36" s="335"/>
      <c r="E36" s="399">
        <v>71241.832999999999</v>
      </c>
      <c r="F36" s="397">
        <v>72830.632950380008</v>
      </c>
      <c r="G36" s="335">
        <f t="shared" si="14"/>
        <v>2.2000000000000002</v>
      </c>
      <c r="H36" s="399">
        <v>182.9</v>
      </c>
      <c r="I36" s="397">
        <v>218.642</v>
      </c>
      <c r="J36" s="335"/>
      <c r="K36" s="399">
        <v>30</v>
      </c>
      <c r="L36" s="397">
        <v>0</v>
      </c>
      <c r="M36" s="381">
        <f>IF(K36=0, "    ---- ", IF(ABS(ROUND(100/K36*L36-100,1))&lt;999,ROUND(100/K36*L36-100,1),IF(ROUND(100/K36*L36-100,1)&gt;999,999,-999)))</f>
        <v>-100</v>
      </c>
      <c r="N36" s="399"/>
      <c r="O36" s="397"/>
      <c r="P36" s="335"/>
      <c r="Q36" s="399">
        <v>24205.705821880001</v>
      </c>
      <c r="R36" s="397">
        <v>21274.56938664</v>
      </c>
      <c r="S36" s="335">
        <f>IF(Q36=0, "    ---- ", IF(ABS(ROUND(100/Q36*R36-100,1))&lt;999,ROUND(100/Q36*R36-100,1),IF(ROUND(100/Q36*R36-100,1)&gt;999,999,-999)))</f>
        <v>-12.1</v>
      </c>
      <c r="T36" s="585">
        <v>121.428</v>
      </c>
      <c r="U36" s="397">
        <v>116.348</v>
      </c>
      <c r="V36" s="335">
        <f>IF(T36=0, "    ---- ", IF(ABS(ROUND(100/T36*U36-100,1))&lt;999,ROUND(100/T36*U36-100,1),IF(ROUND(100/T36*U36-100,1)&gt;999,999,-999)))</f>
        <v>-4.2</v>
      </c>
      <c r="W36" s="399">
        <v>803.64258725000002</v>
      </c>
      <c r="X36" s="397">
        <v>523.20546105000005</v>
      </c>
      <c r="Y36" s="335">
        <f t="shared" si="21"/>
        <v>-34.9</v>
      </c>
      <c r="Z36" s="399">
        <v>976</v>
      </c>
      <c r="AA36" s="397">
        <v>606</v>
      </c>
      <c r="AB36" s="335">
        <f t="shared" si="15"/>
        <v>-37.9</v>
      </c>
      <c r="AC36" s="399"/>
      <c r="AD36" s="397"/>
      <c r="AE36" s="335"/>
      <c r="AF36" s="399">
        <v>1101.133</v>
      </c>
      <c r="AG36" s="397">
        <v>903.06100000000004</v>
      </c>
      <c r="AH36" s="335">
        <f t="shared" si="16"/>
        <v>-18</v>
      </c>
      <c r="AI36" s="585">
        <v>14377.6</v>
      </c>
      <c r="AJ36" s="397">
        <v>13376</v>
      </c>
      <c r="AK36" s="335">
        <f t="shared" si="22"/>
        <v>-7</v>
      </c>
      <c r="AL36" s="394">
        <f t="shared" si="17"/>
        <v>113040.24240913001</v>
      </c>
      <c r="AM36" s="394">
        <f t="shared" si="17"/>
        <v>109848.45879807002</v>
      </c>
      <c r="AN36" s="335">
        <f t="shared" si="18"/>
        <v>-2.8</v>
      </c>
      <c r="AO36" s="394">
        <f t="shared" si="19"/>
        <v>113040.24240913001</v>
      </c>
      <c r="AP36" s="394">
        <f t="shared" si="19"/>
        <v>109848.45879807002</v>
      </c>
      <c r="AQ36" s="398">
        <f t="shared" si="20"/>
        <v>-2.8</v>
      </c>
      <c r="AR36" s="449"/>
      <c r="AS36" s="449"/>
      <c r="AT36" s="453"/>
    </row>
    <row r="37" spans="1:46" s="422" customFormat="1" ht="20.100000000000001" customHeight="1" x14ac:dyDescent="0.3">
      <c r="A37" s="416" t="s">
        <v>200</v>
      </c>
      <c r="B37" s="399"/>
      <c r="C37" s="397"/>
      <c r="D37" s="397"/>
      <c r="E37" s="399">
        <v>71241.832999999999</v>
      </c>
      <c r="F37" s="397">
        <v>72830.632950380008</v>
      </c>
      <c r="G37" s="397">
        <f t="shared" si="14"/>
        <v>2.2000000000000002</v>
      </c>
      <c r="H37" s="399"/>
      <c r="I37" s="397"/>
      <c r="J37" s="397"/>
      <c r="K37" s="399">
        <v>30</v>
      </c>
      <c r="L37" s="397">
        <v>0</v>
      </c>
      <c r="M37" s="381">
        <f>IF(K37=0, "    ---- ", IF(ABS(ROUND(100/K37*L37-100,1))&lt;999,ROUND(100/K37*L37-100,1),IF(ROUND(100/K37*L37-100,1)&gt;999,999,-999)))</f>
        <v>-100</v>
      </c>
      <c r="N37" s="399"/>
      <c r="O37" s="397"/>
      <c r="P37" s="335"/>
      <c r="Q37" s="399">
        <v>24205.705821880001</v>
      </c>
      <c r="R37" s="397">
        <v>21274.56938664</v>
      </c>
      <c r="S37" s="335">
        <f>IF(Q37=0, "    ---- ", IF(ABS(ROUND(100/Q37*R37-100,1))&lt;999,ROUND(100/Q37*R37-100,1),IF(ROUND(100/Q37*R37-100,1)&gt;999,999,-999)))</f>
        <v>-12.1</v>
      </c>
      <c r="T37" s="585"/>
      <c r="U37" s="397"/>
      <c r="V37" s="335"/>
      <c r="W37" s="399">
        <v>803.64258725000002</v>
      </c>
      <c r="X37" s="397">
        <v>523.20546105000005</v>
      </c>
      <c r="Y37" s="335">
        <f t="shared" si="21"/>
        <v>-34.9</v>
      </c>
      <c r="Z37" s="399"/>
      <c r="AA37" s="397"/>
      <c r="AB37" s="335" t="str">
        <f t="shared" si="15"/>
        <v xml:space="preserve">    ---- </v>
      </c>
      <c r="AC37" s="399"/>
      <c r="AD37" s="397"/>
      <c r="AE37" s="335"/>
      <c r="AF37" s="399">
        <v>180.9656191799987</v>
      </c>
      <c r="AG37" s="397">
        <v>127.44867350000068</v>
      </c>
      <c r="AH37" s="335">
        <f t="shared" si="16"/>
        <v>-29.6</v>
      </c>
      <c r="AI37" s="585">
        <v>14377.6</v>
      </c>
      <c r="AJ37" s="397">
        <v>13376</v>
      </c>
      <c r="AK37" s="335">
        <f t="shared" si="22"/>
        <v>-7</v>
      </c>
      <c r="AL37" s="394">
        <f t="shared" si="17"/>
        <v>110839.74702831001</v>
      </c>
      <c r="AM37" s="394">
        <f t="shared" si="17"/>
        <v>108131.85647157</v>
      </c>
      <c r="AN37" s="335">
        <f t="shared" si="18"/>
        <v>-2.4</v>
      </c>
      <c r="AO37" s="394">
        <f t="shared" si="19"/>
        <v>110839.74702831001</v>
      </c>
      <c r="AP37" s="394">
        <f t="shared" si="19"/>
        <v>108131.85647157</v>
      </c>
      <c r="AQ37" s="398">
        <f t="shared" si="20"/>
        <v>-2.4</v>
      </c>
      <c r="AR37" s="449"/>
      <c r="AS37" s="449"/>
      <c r="AT37" s="453"/>
    </row>
    <row r="38" spans="1:46" s="422" customFormat="1" ht="20.100000000000001" customHeight="1" x14ac:dyDescent="0.3">
      <c r="A38" s="416" t="s">
        <v>218</v>
      </c>
      <c r="B38" s="399"/>
      <c r="C38" s="397"/>
      <c r="D38" s="397"/>
      <c r="E38" s="399">
        <v>35888.008999999998</v>
      </c>
      <c r="F38" s="397">
        <v>30409.338327220001</v>
      </c>
      <c r="G38" s="397"/>
      <c r="H38" s="399"/>
      <c r="I38" s="397"/>
      <c r="J38" s="397"/>
      <c r="K38" s="399">
        <v>4762</v>
      </c>
      <c r="L38" s="397">
        <v>5016</v>
      </c>
      <c r="M38" s="381">
        <f t="shared" ref="M38:M57" si="23">IF(K38=0, "    ---- ", IF(ABS(ROUND(100/K38*L38-100,1))&lt;999,ROUND(100/K38*L38-100,1),IF(ROUND(100/K38*L38-100,1)&gt;999,999,-999)))</f>
        <v>5.3</v>
      </c>
      <c r="N38" s="399"/>
      <c r="O38" s="397"/>
      <c r="P38" s="335"/>
      <c r="Q38" s="399">
        <v>172270.99551920002</v>
      </c>
      <c r="R38" s="397">
        <v>196119.99202144</v>
      </c>
      <c r="S38" s="335">
        <f t="shared" ref="S38:S45" si="24">IF(Q38=0, "    ---- ", IF(ABS(ROUND(100/Q38*R38-100,1))&lt;999,ROUND(100/Q38*R38-100,1),IF(ROUND(100/Q38*R38-100,1)&gt;999,999,-999)))</f>
        <v>13.8</v>
      </c>
      <c r="T38" s="585">
        <v>1060.837</v>
      </c>
      <c r="U38" s="397">
        <v>1298.953</v>
      </c>
      <c r="V38" s="335">
        <f>IF(T38=0, "    ---- ", IF(ABS(ROUND(100/T38*U38-100,1))&lt;999,ROUND(100/T38*U38-100,1),IF(ROUND(100/T38*U38-100,1)&gt;999,999,-999)))</f>
        <v>22.4</v>
      </c>
      <c r="W38" s="399">
        <v>29489.730218759898</v>
      </c>
      <c r="X38" s="397">
        <v>31497.000200139901</v>
      </c>
      <c r="Y38" s="335">
        <f t="shared" si="21"/>
        <v>6.8</v>
      </c>
      <c r="Z38" s="399">
        <v>20837</v>
      </c>
      <c r="AA38" s="397">
        <v>21979</v>
      </c>
      <c r="AB38" s="335">
        <f t="shared" si="15"/>
        <v>5.5</v>
      </c>
      <c r="AC38" s="399"/>
      <c r="AD38" s="397"/>
      <c r="AE38" s="335"/>
      <c r="AF38" s="399">
        <v>7486.86</v>
      </c>
      <c r="AG38" s="397">
        <v>7411.3850000000002</v>
      </c>
      <c r="AH38" s="335">
        <f t="shared" si="16"/>
        <v>-1</v>
      </c>
      <c r="AI38" s="585">
        <f>85250.3+23545.8+2002</f>
        <v>110798.1</v>
      </c>
      <c r="AJ38" s="397">
        <f>88587+24046+4379</f>
        <v>117012</v>
      </c>
      <c r="AK38" s="335">
        <f t="shared" si="22"/>
        <v>5.6</v>
      </c>
      <c r="AL38" s="394">
        <f t="shared" si="17"/>
        <v>382593.53173795994</v>
      </c>
      <c r="AM38" s="394">
        <f t="shared" si="17"/>
        <v>410743.66854879993</v>
      </c>
      <c r="AN38" s="335">
        <f t="shared" si="18"/>
        <v>7.4</v>
      </c>
      <c r="AO38" s="394">
        <f t="shared" si="19"/>
        <v>382593.53173795994</v>
      </c>
      <c r="AP38" s="394">
        <f t="shared" si="19"/>
        <v>410743.66854879993</v>
      </c>
      <c r="AQ38" s="398">
        <f t="shared" si="20"/>
        <v>7.4</v>
      </c>
      <c r="AR38" s="449"/>
      <c r="AS38" s="449"/>
      <c r="AT38" s="453"/>
    </row>
    <row r="39" spans="1:46" s="422" customFormat="1" ht="20.100000000000001" customHeight="1" x14ac:dyDescent="0.3">
      <c r="A39" s="416" t="s">
        <v>219</v>
      </c>
      <c r="B39" s="399">
        <v>1062.4449999999999</v>
      </c>
      <c r="C39" s="397">
        <f>SUM(C40:C44)</f>
        <v>1199.4539999999997</v>
      </c>
      <c r="D39" s="397">
        <f>IF(B39=0, "    ---- ", IF(ABS(ROUND(100/B39*C39-100,1))&lt;999,ROUND(100/B39*C39-100,1),IF(ROUND(100/B39*C39-100,1)&gt;999,999,-999)))</f>
        <v>12.9</v>
      </c>
      <c r="E39" s="399">
        <v>79892.945999999996</v>
      </c>
      <c r="F39" s="397">
        <f>SUM(F40:F44)</f>
        <v>77240.737565890013</v>
      </c>
      <c r="G39" s="397">
        <f t="shared" si="14"/>
        <v>-3.3</v>
      </c>
      <c r="H39" s="399">
        <v>754.3</v>
      </c>
      <c r="I39" s="397">
        <f>SUM(I40:I44)</f>
        <v>850.33900000000006</v>
      </c>
      <c r="J39" s="397">
        <f t="shared" ref="J39:J46" si="25">IF(H39=0, "    ---- ", IF(ABS(ROUND(100/H39*I39-100,1))&lt;999,ROUND(100/H39*I39-100,1),IF(ROUND(100/H39*I39-100,1)&gt;999,999,-999)))</f>
        <v>12.7</v>
      </c>
      <c r="K39" s="399">
        <f>SUM(K40:K44)</f>
        <v>626</v>
      </c>
      <c r="L39" s="397">
        <f>SUM(L40:L44)</f>
        <v>578.20000000000005</v>
      </c>
      <c r="M39" s="381">
        <f t="shared" si="23"/>
        <v>-7.6</v>
      </c>
      <c r="N39" s="399"/>
      <c r="O39" s="397"/>
      <c r="P39" s="335"/>
      <c r="Q39" s="399">
        <v>246129.55662341998</v>
      </c>
      <c r="R39" s="397">
        <f>SUM(R40:R44)</f>
        <v>257871.54722114</v>
      </c>
      <c r="S39" s="335">
        <f t="shared" si="24"/>
        <v>4.8</v>
      </c>
      <c r="T39" s="585">
        <v>333.15899999999999</v>
      </c>
      <c r="U39" s="397">
        <v>125.878</v>
      </c>
      <c r="V39" s="335">
        <f>IF(T39=0, "    ---- ", IF(ABS(ROUND(100/T39*U39-100,1))&lt;999,ROUND(100/T39*U39-100,1),IF(ROUND(100/T39*U39-100,1)&gt;999,999,-999)))</f>
        <v>-62.2</v>
      </c>
      <c r="W39" s="399">
        <v>13408.07094313</v>
      </c>
      <c r="X39" s="397">
        <f>SUM(X40:X44)</f>
        <v>12154.079155050002</v>
      </c>
      <c r="Y39" s="335">
        <f t="shared" si="21"/>
        <v>-9.4</v>
      </c>
      <c r="Z39" s="399">
        <v>48329</v>
      </c>
      <c r="AA39" s="397">
        <f>SUM(AA40:AA44)</f>
        <v>52587</v>
      </c>
      <c r="AB39" s="335">
        <f t="shared" si="15"/>
        <v>8.8000000000000007</v>
      </c>
      <c r="AC39" s="399"/>
      <c r="AD39" s="397"/>
      <c r="AE39" s="335"/>
      <c r="AF39" s="399">
        <f>SUM(AF40:AF44)</f>
        <v>10167.347</v>
      </c>
      <c r="AG39" s="397">
        <f>SUM(AG40:AG44)</f>
        <v>11694.204</v>
      </c>
      <c r="AH39" s="335">
        <f t="shared" si="16"/>
        <v>15</v>
      </c>
      <c r="AI39" s="585">
        <f>SUM(AI40:AI44)</f>
        <v>42273.7</v>
      </c>
      <c r="AJ39" s="397">
        <f>SUM(AJ40:AJ44)</f>
        <v>33502.400000000001</v>
      </c>
      <c r="AK39" s="335">
        <f t="shared" si="22"/>
        <v>-20.7</v>
      </c>
      <c r="AL39" s="394">
        <f t="shared" si="17"/>
        <v>442976.52456654998</v>
      </c>
      <c r="AM39" s="394">
        <f t="shared" si="17"/>
        <v>447803.8389420801</v>
      </c>
      <c r="AN39" s="335">
        <f t="shared" si="18"/>
        <v>1.1000000000000001</v>
      </c>
      <c r="AO39" s="394">
        <f t="shared" si="19"/>
        <v>442976.52456654998</v>
      </c>
      <c r="AP39" s="394">
        <f t="shared" si="19"/>
        <v>447803.8389420801</v>
      </c>
      <c r="AQ39" s="398">
        <f t="shared" si="20"/>
        <v>1.1000000000000001</v>
      </c>
      <c r="AR39" s="449"/>
      <c r="AS39" s="449"/>
      <c r="AT39" s="453"/>
    </row>
    <row r="40" spans="1:46" s="422" customFormat="1" ht="20.100000000000001" customHeight="1" x14ac:dyDescent="0.3">
      <c r="A40" s="416" t="s">
        <v>220</v>
      </c>
      <c r="B40" s="399">
        <v>46.569000000000003</v>
      </c>
      <c r="C40" s="397">
        <v>31.541</v>
      </c>
      <c r="D40" s="335">
        <f>IF(B40=0, "    ---- ", IF(ABS(ROUND(100/B40*C40-100,1))&lt;999,ROUND(100/B40*C40-100,1),IF(ROUND(100/B40*C40-100,1)&gt;999,999,-999)))</f>
        <v>-32.299999999999997</v>
      </c>
      <c r="E40" s="399">
        <v>19329.583999999999</v>
      </c>
      <c r="F40" s="397">
        <v>17836.53728624</v>
      </c>
      <c r="G40" s="335">
        <f t="shared" si="14"/>
        <v>-7.7</v>
      </c>
      <c r="H40" s="399">
        <v>107.1</v>
      </c>
      <c r="I40" s="397">
        <v>97.69</v>
      </c>
      <c r="J40" s="335">
        <f t="shared" si="25"/>
        <v>-8.8000000000000007</v>
      </c>
      <c r="K40" s="399"/>
      <c r="L40" s="397"/>
      <c r="M40" s="381"/>
      <c r="N40" s="399"/>
      <c r="O40" s="397"/>
      <c r="P40" s="335"/>
      <c r="Q40" s="399">
        <v>113151.89037247001</v>
      </c>
      <c r="R40" s="397">
        <v>125999.50267772</v>
      </c>
      <c r="S40" s="335">
        <f t="shared" si="24"/>
        <v>11.4</v>
      </c>
      <c r="T40" s="585">
        <v>323.26</v>
      </c>
      <c r="U40" s="397">
        <v>87.411000000000001</v>
      </c>
      <c r="V40" s="335">
        <f>IF(T40=0, "    ---- ", IF(ABS(ROUND(100/T40*U40-100,1))&lt;999,ROUND(100/T40*U40-100,1),IF(ROUND(100/T40*U40-100,1)&gt;999,999,-999)))</f>
        <v>-73</v>
      </c>
      <c r="W40" s="399">
        <v>4822.9034606800005</v>
      </c>
      <c r="X40" s="397">
        <v>5069.9608731600001</v>
      </c>
      <c r="Y40" s="335">
        <f t="shared" si="21"/>
        <v>5.0999999999999996</v>
      </c>
      <c r="Z40" s="399">
        <v>28909</v>
      </c>
      <c r="AA40" s="397">
        <v>32240</v>
      </c>
      <c r="AB40" s="335">
        <f t="shared" si="15"/>
        <v>11.5</v>
      </c>
      <c r="AC40" s="399"/>
      <c r="AD40" s="397"/>
      <c r="AE40" s="335"/>
      <c r="AF40" s="399">
        <v>3155.7440000000001</v>
      </c>
      <c r="AG40" s="397">
        <v>2889.248</v>
      </c>
      <c r="AH40" s="335">
        <f t="shared" si="16"/>
        <v>-8.4</v>
      </c>
      <c r="AI40" s="585">
        <v>14544.9</v>
      </c>
      <c r="AJ40" s="397">
        <v>7341</v>
      </c>
      <c r="AK40" s="335">
        <f t="shared" si="22"/>
        <v>-49.5</v>
      </c>
      <c r="AL40" s="394">
        <f t="shared" si="17"/>
        <v>184390.95083315001</v>
      </c>
      <c r="AM40" s="394">
        <f t="shared" si="17"/>
        <v>191592.89083711998</v>
      </c>
      <c r="AN40" s="335">
        <f t="shared" si="18"/>
        <v>3.9</v>
      </c>
      <c r="AO40" s="394">
        <f t="shared" si="19"/>
        <v>184390.95083315001</v>
      </c>
      <c r="AP40" s="394">
        <f t="shared" si="19"/>
        <v>191592.89083711998</v>
      </c>
      <c r="AQ40" s="398">
        <f t="shared" si="20"/>
        <v>3.9</v>
      </c>
      <c r="AR40" s="449"/>
      <c r="AS40" s="449"/>
      <c r="AT40" s="453"/>
    </row>
    <row r="41" spans="1:46" s="422" customFormat="1" ht="20.100000000000001" customHeight="1" x14ac:dyDescent="0.3">
      <c r="A41" s="416" t="s">
        <v>221</v>
      </c>
      <c r="B41" s="399">
        <v>968.21199999999999</v>
      </c>
      <c r="C41" s="397">
        <v>1129.079</v>
      </c>
      <c r="D41" s="397">
        <f>IF(B41=0, "    ---- ", IF(ABS(ROUND(100/B41*C41-100,1))&lt;999,ROUND(100/B41*C41-100,1),IF(ROUND(100/B41*C41-100,1)&gt;999,999,-999)))</f>
        <v>16.600000000000001</v>
      </c>
      <c r="E41" s="399">
        <v>56834.540999999997</v>
      </c>
      <c r="F41" s="397">
        <v>55766.359984319999</v>
      </c>
      <c r="G41" s="397">
        <f t="shared" si="14"/>
        <v>-1.9</v>
      </c>
      <c r="H41" s="399">
        <v>516.5</v>
      </c>
      <c r="I41" s="397">
        <v>614.14499999999998</v>
      </c>
      <c r="J41" s="397">
        <f>IF(H41=0, "    ---- ", IF(ABS(ROUND(100/H41*I41-100,1))&lt;999,ROUND(100/H41*I41-100,1),IF(ROUND(100/H41*I41-100,1)&gt;999,999,-999)))</f>
        <v>18.899999999999999</v>
      </c>
      <c r="K41" s="399">
        <v>602</v>
      </c>
      <c r="L41" s="397">
        <v>560.6</v>
      </c>
      <c r="M41" s="381">
        <f t="shared" si="23"/>
        <v>-6.9</v>
      </c>
      <c r="N41" s="399"/>
      <c r="O41" s="397"/>
      <c r="P41" s="335"/>
      <c r="Q41" s="399">
        <v>124202.45524646001</v>
      </c>
      <c r="R41" s="397">
        <v>120417.82974587</v>
      </c>
      <c r="S41" s="335">
        <f t="shared" si="24"/>
        <v>-3</v>
      </c>
      <c r="T41" s="585"/>
      <c r="U41" s="397"/>
      <c r="V41" s="335" t="str">
        <f>IF(T41=0, "    ---- ", IF(ABS(ROUND(100/T41*U41-100,1))&lt;999,ROUND(100/T41*U41-100,1),IF(ROUND(100/T41*U41-100,1)&gt;999,999,-999)))</f>
        <v xml:space="preserve">    ---- </v>
      </c>
      <c r="W41" s="399">
        <v>8231.9618610199996</v>
      </c>
      <c r="X41" s="397">
        <v>6660.1521483300003</v>
      </c>
      <c r="Y41" s="335">
        <f t="shared" si="21"/>
        <v>-19.100000000000001</v>
      </c>
      <c r="Z41" s="399">
        <v>17891</v>
      </c>
      <c r="AA41" s="397">
        <v>18555</v>
      </c>
      <c r="AB41" s="335">
        <f t="shared" si="15"/>
        <v>3.7</v>
      </c>
      <c r="AC41" s="399"/>
      <c r="AD41" s="397"/>
      <c r="AE41" s="335"/>
      <c r="AF41" s="399">
        <v>6867.3339999999998</v>
      </c>
      <c r="AG41" s="397">
        <v>8481.3189999999995</v>
      </c>
      <c r="AH41" s="335">
        <f t="shared" si="16"/>
        <v>23.5</v>
      </c>
      <c r="AI41" s="585">
        <v>27460.799999999999</v>
      </c>
      <c r="AJ41" s="397">
        <f>24571.4</f>
        <v>24571.4</v>
      </c>
      <c r="AK41" s="335">
        <f t="shared" si="22"/>
        <v>-10.5</v>
      </c>
      <c r="AL41" s="394">
        <f t="shared" si="17"/>
        <v>243574.80410748001</v>
      </c>
      <c r="AM41" s="394">
        <f t="shared" si="17"/>
        <v>236755.88487851998</v>
      </c>
      <c r="AN41" s="335">
        <f t="shared" si="18"/>
        <v>-2.8</v>
      </c>
      <c r="AO41" s="394">
        <f t="shared" si="19"/>
        <v>243574.80410748001</v>
      </c>
      <c r="AP41" s="394">
        <f t="shared" si="19"/>
        <v>236755.88487851998</v>
      </c>
      <c r="AQ41" s="398">
        <f t="shared" si="20"/>
        <v>-2.8</v>
      </c>
      <c r="AR41" s="449"/>
      <c r="AS41" s="449"/>
      <c r="AT41" s="453"/>
    </row>
    <row r="42" spans="1:46" s="422" customFormat="1" ht="20.100000000000001" customHeight="1" x14ac:dyDescent="0.3">
      <c r="A42" s="416" t="s">
        <v>222</v>
      </c>
      <c r="B42" s="399"/>
      <c r="C42" s="397"/>
      <c r="D42" s="397"/>
      <c r="E42" s="399">
        <v>2697.3380000000002</v>
      </c>
      <c r="F42" s="397">
        <v>2414.11247822</v>
      </c>
      <c r="G42" s="397">
        <f t="shared" si="14"/>
        <v>-10.5</v>
      </c>
      <c r="H42" s="399"/>
      <c r="I42" s="397"/>
      <c r="J42" s="397"/>
      <c r="K42" s="399">
        <v>2</v>
      </c>
      <c r="L42" s="397"/>
      <c r="M42" s="381">
        <f t="shared" si="23"/>
        <v>-100</v>
      </c>
      <c r="N42" s="399"/>
      <c r="O42" s="397"/>
      <c r="P42" s="335"/>
      <c r="Q42" s="399">
        <v>6255.5891689300006</v>
      </c>
      <c r="R42" s="397">
        <v>8581.3230959200009</v>
      </c>
      <c r="S42" s="335">
        <f t="shared" si="24"/>
        <v>37.200000000000003</v>
      </c>
      <c r="T42" s="585">
        <v>9.9</v>
      </c>
      <c r="U42" s="397">
        <v>38.466000000000001</v>
      </c>
      <c r="V42" s="335">
        <f>IF(T42=0, "    ---- ", IF(ABS(ROUND(100/T42*U42-100,1))&lt;999,ROUND(100/T42*U42-100,1),IF(ROUND(100/T42*U42-100,1)&gt;999,999,-999)))</f>
        <v>288.5</v>
      </c>
      <c r="W42" s="399">
        <v>0</v>
      </c>
      <c r="X42" s="397">
        <v>0</v>
      </c>
      <c r="Y42" s="335"/>
      <c r="Z42" s="399">
        <v>53</v>
      </c>
      <c r="AA42" s="397">
        <v>53</v>
      </c>
      <c r="AB42" s="335">
        <f t="shared" si="15"/>
        <v>0</v>
      </c>
      <c r="AC42" s="399"/>
      <c r="AD42" s="397"/>
      <c r="AE42" s="335"/>
      <c r="AF42" s="399">
        <v>0</v>
      </c>
      <c r="AG42" s="397">
        <v>0</v>
      </c>
      <c r="AH42" s="335"/>
      <c r="AI42" s="585"/>
      <c r="AJ42" s="397"/>
      <c r="AK42" s="335" t="str">
        <f t="shared" si="22"/>
        <v xml:space="preserve">    ---- </v>
      </c>
      <c r="AL42" s="394">
        <f t="shared" si="17"/>
        <v>9017.82716893</v>
      </c>
      <c r="AM42" s="394">
        <f t="shared" si="17"/>
        <v>11086.901574140002</v>
      </c>
      <c r="AN42" s="335">
        <f t="shared" si="18"/>
        <v>22.9</v>
      </c>
      <c r="AO42" s="394">
        <f t="shared" si="19"/>
        <v>9017.82716893</v>
      </c>
      <c r="AP42" s="394">
        <f t="shared" si="19"/>
        <v>11086.901574140002</v>
      </c>
      <c r="AQ42" s="398">
        <f t="shared" si="20"/>
        <v>22.9</v>
      </c>
      <c r="AR42" s="449"/>
      <c r="AS42" s="449"/>
      <c r="AT42" s="453"/>
    </row>
    <row r="43" spans="1:46" s="422" customFormat="1" ht="20.100000000000001" customHeight="1" x14ac:dyDescent="0.3">
      <c r="A43" s="416" t="s">
        <v>223</v>
      </c>
      <c r="B43" s="399">
        <v>0.79200000000000004</v>
      </c>
      <c r="C43" s="397">
        <v>0.79100000000000004</v>
      </c>
      <c r="D43" s="397">
        <f>IF(B43=0, "    ---- ", IF(ABS(ROUND(100/B43*C43-100,1))&lt;999,ROUND(100/B43*C43-100,1),IF(ROUND(100/B43*C43-100,1)&gt;999,999,-999)))</f>
        <v>-0.1</v>
      </c>
      <c r="E43" s="399">
        <v>127.401</v>
      </c>
      <c r="F43" s="397">
        <v>217.8575821</v>
      </c>
      <c r="G43" s="397">
        <f t="shared" si="14"/>
        <v>71</v>
      </c>
      <c r="H43" s="399"/>
      <c r="I43" s="397"/>
      <c r="J43" s="397"/>
      <c r="K43" s="399"/>
      <c r="L43" s="397"/>
      <c r="M43" s="381"/>
      <c r="N43" s="399"/>
      <c r="O43" s="397"/>
      <c r="P43" s="335"/>
      <c r="Q43" s="399">
        <v>1091.33979849</v>
      </c>
      <c r="R43" s="397">
        <v>1411.5016332999999</v>
      </c>
      <c r="S43" s="335">
        <f t="shared" si="24"/>
        <v>29.3</v>
      </c>
      <c r="T43" s="585"/>
      <c r="U43" s="397"/>
      <c r="V43" s="335"/>
      <c r="W43" s="399">
        <v>-4.73819079</v>
      </c>
      <c r="X43" s="397">
        <v>11.112134900000001</v>
      </c>
      <c r="Y43" s="335">
        <f t="shared" si="21"/>
        <v>-334.5</v>
      </c>
      <c r="Z43" s="399">
        <v>-117</v>
      </c>
      <c r="AA43" s="397">
        <v>527</v>
      </c>
      <c r="AB43" s="335">
        <f>IF(Z43=0, "    ---- ", IF(ABS(ROUND(100/Z43*AA43-100,1))&lt;999,ROUND(100/Z43*AA43-100,1),IF(ROUND(100/Z43*AA43-100,1)&gt;999,999,-999)))</f>
        <v>-550.4</v>
      </c>
      <c r="AC43" s="399"/>
      <c r="AD43" s="397"/>
      <c r="AE43" s="335"/>
      <c r="AF43" s="399">
        <v>7.4450000000000003</v>
      </c>
      <c r="AG43" s="397">
        <v>50.744</v>
      </c>
      <c r="AH43" s="335">
        <f t="shared" si="16"/>
        <v>581.6</v>
      </c>
      <c r="AI43" s="585">
        <v>268</v>
      </c>
      <c r="AJ43" s="397">
        <v>1590</v>
      </c>
      <c r="AK43" s="335">
        <f t="shared" si="22"/>
        <v>493.3</v>
      </c>
      <c r="AL43" s="394">
        <f t="shared" si="17"/>
        <v>1373.2396076999999</v>
      </c>
      <c r="AM43" s="394">
        <f t="shared" si="17"/>
        <v>3809.0063503000001</v>
      </c>
      <c r="AN43" s="335">
        <f t="shared" si="18"/>
        <v>177.4</v>
      </c>
      <c r="AO43" s="394">
        <f t="shared" si="19"/>
        <v>1373.2396076999999</v>
      </c>
      <c r="AP43" s="394">
        <f t="shared" si="19"/>
        <v>3809.0063503000001</v>
      </c>
      <c r="AQ43" s="398">
        <f t="shared" si="20"/>
        <v>177.4</v>
      </c>
      <c r="AR43" s="449"/>
      <c r="AS43" s="449"/>
      <c r="AT43" s="453"/>
    </row>
    <row r="44" spans="1:46" s="422" customFormat="1" ht="20.100000000000001" customHeight="1" x14ac:dyDescent="0.3">
      <c r="A44" s="416" t="s">
        <v>224</v>
      </c>
      <c r="B44" s="399">
        <v>46.872</v>
      </c>
      <c r="C44" s="397">
        <v>38.042999999999999</v>
      </c>
      <c r="D44" s="397">
        <f>IF(B44=0, "    ---- ", IF(ABS(ROUND(100/B44*C44-100,1))&lt;999,ROUND(100/B44*C44-100,1),IF(ROUND(100/B44*C44-100,1)&gt;999,999,-999)))</f>
        <v>-18.8</v>
      </c>
      <c r="E44" s="399">
        <v>904.08199999999999</v>
      </c>
      <c r="F44" s="397">
        <v>1005.87023501</v>
      </c>
      <c r="G44" s="397">
        <f t="shared" si="14"/>
        <v>11.3</v>
      </c>
      <c r="H44" s="399">
        <v>130.69999999999999</v>
      </c>
      <c r="I44" s="397">
        <v>138.50399999999999</v>
      </c>
      <c r="J44" s="397">
        <f t="shared" si="25"/>
        <v>6</v>
      </c>
      <c r="K44" s="399">
        <v>22</v>
      </c>
      <c r="L44" s="397">
        <f>2.2+15.4</f>
        <v>17.600000000000001</v>
      </c>
      <c r="M44" s="381">
        <f t="shared" si="23"/>
        <v>-20</v>
      </c>
      <c r="N44" s="399"/>
      <c r="O44" s="397"/>
      <c r="P44" s="335"/>
      <c r="Q44" s="399">
        <v>1428.2820370699999</v>
      </c>
      <c r="R44" s="397">
        <v>1461.3900683299998</v>
      </c>
      <c r="S44" s="335">
        <f t="shared" si="24"/>
        <v>2.2999999999999998</v>
      </c>
      <c r="T44" s="585"/>
      <c r="U44" s="397"/>
      <c r="V44" s="335"/>
      <c r="W44" s="399">
        <v>357.94381222000004</v>
      </c>
      <c r="X44" s="397">
        <v>412.85399866</v>
      </c>
      <c r="Y44" s="335">
        <f t="shared" si="21"/>
        <v>15.3</v>
      </c>
      <c r="Z44" s="399">
        <v>1593</v>
      </c>
      <c r="AA44" s="397">
        <v>1212</v>
      </c>
      <c r="AB44" s="335">
        <f>IF(Z44=0, "    ---- ", IF(ABS(ROUND(100/Z44*AA44-100,1))&lt;999,ROUND(100/Z44*AA44-100,1),IF(ROUND(100/Z44*AA44-100,1)&gt;999,999,-999)))</f>
        <v>-23.9</v>
      </c>
      <c r="AC44" s="399"/>
      <c r="AD44" s="397"/>
      <c r="AE44" s="335"/>
      <c r="AF44" s="399">
        <v>136.82400000000001</v>
      </c>
      <c r="AG44" s="397">
        <v>272.89299999999997</v>
      </c>
      <c r="AH44" s="335">
        <f t="shared" si="16"/>
        <v>99.4</v>
      </c>
      <c r="AI44" s="585"/>
      <c r="AJ44" s="397"/>
      <c r="AK44" s="335" t="str">
        <f t="shared" si="22"/>
        <v xml:space="preserve">    ---- </v>
      </c>
      <c r="AL44" s="394">
        <f t="shared" si="17"/>
        <v>4619.7038492899992</v>
      </c>
      <c r="AM44" s="394">
        <f t="shared" si="17"/>
        <v>4559.154301999999</v>
      </c>
      <c r="AN44" s="335">
        <f t="shared" si="18"/>
        <v>-1.3</v>
      </c>
      <c r="AO44" s="394">
        <f t="shared" si="19"/>
        <v>4619.7038492899992</v>
      </c>
      <c r="AP44" s="394">
        <f t="shared" si="19"/>
        <v>4559.154301999999</v>
      </c>
      <c r="AQ44" s="398">
        <f t="shared" si="20"/>
        <v>-1.3</v>
      </c>
      <c r="AR44" s="449"/>
      <c r="AS44" s="449"/>
      <c r="AT44" s="453"/>
    </row>
    <row r="45" spans="1:46" s="422" customFormat="1" ht="20.100000000000001" customHeight="1" x14ac:dyDescent="0.3">
      <c r="A45" s="417" t="s">
        <v>225</v>
      </c>
      <c r="B45" s="399">
        <v>1062.4449999999999</v>
      </c>
      <c r="C45" s="397">
        <f>SUM(C33+C34+C35+C39)</f>
        <v>1199.4539999999997</v>
      </c>
      <c r="D45" s="335">
        <f>IF(B45=0, "    ---- ", IF(ABS(ROUND(100/B45*C45-100,1))&lt;999,ROUND(100/B45*C45-100,1),IF(ROUND(100/B45*C45-100,1)&gt;999,999,-999)))</f>
        <v>12.9</v>
      </c>
      <c r="E45" s="399">
        <v>207859.62700000001</v>
      </c>
      <c r="F45" s="397">
        <f>SUM(F33+F34+F35+F39)</f>
        <v>207024.19133017003</v>
      </c>
      <c r="G45" s="335">
        <f t="shared" si="14"/>
        <v>-0.4</v>
      </c>
      <c r="H45" s="399">
        <v>937.19999999999993</v>
      </c>
      <c r="I45" s="397">
        <f>SUM(I33+I34+I35+I39)</f>
        <v>1068.981</v>
      </c>
      <c r="J45" s="335">
        <f t="shared" si="25"/>
        <v>14.1</v>
      </c>
      <c r="K45" s="399">
        <f>SUM(K33+K34+K35+K39)</f>
        <v>6290</v>
      </c>
      <c r="L45" s="397">
        <f>SUM(L33+L34+L35+L39)</f>
        <v>6516.4</v>
      </c>
      <c r="M45" s="381">
        <f t="shared" si="23"/>
        <v>3.6</v>
      </c>
      <c r="N45" s="399"/>
      <c r="O45" s="397"/>
      <c r="P45" s="335"/>
      <c r="Q45" s="399">
        <v>502991.48592875001</v>
      </c>
      <c r="R45" s="397">
        <f>SUM(R33+R34+R35+R39)</f>
        <v>541801.74134796998</v>
      </c>
      <c r="S45" s="335">
        <f t="shared" si="24"/>
        <v>7.7</v>
      </c>
      <c r="T45" s="585">
        <v>1718.748</v>
      </c>
      <c r="U45" s="397">
        <f>SUM(U33+U34+U35+U39)</f>
        <v>1747.3789999999999</v>
      </c>
      <c r="V45" s="335">
        <f>IF(T45=0, "    ---- ", IF(ABS(ROUND(100/T45*U45-100,1))&lt;999,ROUND(100/T45*U45-100,1),IF(ROUND(100/T45*U45-100,1)&gt;999,999,-999)))</f>
        <v>1.7</v>
      </c>
      <c r="W45" s="399">
        <v>49890.995598209898</v>
      </c>
      <c r="X45" s="397">
        <f>SUM(X33+X34+X35+X39)</f>
        <v>51553.720354279903</v>
      </c>
      <c r="Y45" s="335">
        <f t="shared" si="21"/>
        <v>3.3</v>
      </c>
      <c r="Z45" s="399">
        <v>83761</v>
      </c>
      <c r="AA45" s="397">
        <f>SUM(AA33+AA34+AA35+AA39)</f>
        <v>90015</v>
      </c>
      <c r="AB45" s="335">
        <f>IF(Z45=0, "    ---- ", IF(ABS(ROUND(100/Z45*AA45-100,1))&lt;999,ROUND(100/Z45*AA45-100,1),IF(ROUND(100/Z45*AA45-100,1)&gt;999,999,-999)))</f>
        <v>7.5</v>
      </c>
      <c r="AC45" s="399"/>
      <c r="AD45" s="397"/>
      <c r="AE45" s="335"/>
      <c r="AF45" s="399">
        <f>SUM(AF33+AF34+AF35+AF39)</f>
        <v>22976.845000000001</v>
      </c>
      <c r="AG45" s="397">
        <f>SUM(AG33+AG34+AG35+AG39)</f>
        <v>24827.885000000002</v>
      </c>
      <c r="AH45" s="335">
        <f t="shared" si="16"/>
        <v>8.1</v>
      </c>
      <c r="AI45" s="585">
        <f>SUM(AI33+AI34+AI35+AI39)</f>
        <v>187870.3</v>
      </c>
      <c r="AJ45" s="397">
        <f>SUM(AJ33+AJ34+AJ35+AJ39)</f>
        <v>191134.4</v>
      </c>
      <c r="AK45" s="335">
        <f t="shared" si="22"/>
        <v>1.7</v>
      </c>
      <c r="AL45" s="394">
        <f t="shared" si="17"/>
        <v>1065358.64652696</v>
      </c>
      <c r="AM45" s="394">
        <f t="shared" si="17"/>
        <v>1116889.1520324198</v>
      </c>
      <c r="AN45" s="335">
        <f t="shared" si="18"/>
        <v>4.8</v>
      </c>
      <c r="AO45" s="394">
        <f t="shared" si="19"/>
        <v>1065358.64652696</v>
      </c>
      <c r="AP45" s="394">
        <f t="shared" si="19"/>
        <v>1116889.1520324198</v>
      </c>
      <c r="AQ45" s="398">
        <f t="shared" si="20"/>
        <v>4.8</v>
      </c>
      <c r="AR45" s="449"/>
      <c r="AS45" s="449"/>
      <c r="AT45" s="453"/>
    </row>
    <row r="46" spans="1:46" s="422" customFormat="1" ht="20.100000000000001" customHeight="1" x14ac:dyDescent="0.3">
      <c r="A46" s="414" t="s">
        <v>344</v>
      </c>
      <c r="B46" s="399">
        <v>123.07299999999999</v>
      </c>
      <c r="C46" s="397">
        <v>152.36199999999999</v>
      </c>
      <c r="D46" s="335">
        <f>IF(B46=0, "    ---- ", IF(ABS(ROUND(100/B46*C46-100,1))&lt;999,ROUND(100/B46*C46-100,1),IF(ROUND(100/B46*C46-100,1)&gt;999,999,-999)))</f>
        <v>23.8</v>
      </c>
      <c r="E46" s="399"/>
      <c r="F46" s="397">
        <v>241.40603394999999</v>
      </c>
      <c r="G46" s="335"/>
      <c r="H46" s="399">
        <v>112.5</v>
      </c>
      <c r="I46" s="397">
        <v>98.372</v>
      </c>
      <c r="J46" s="335">
        <f t="shared" si="25"/>
        <v>-12.6</v>
      </c>
      <c r="K46" s="399">
        <v>48</v>
      </c>
      <c r="L46" s="397">
        <v>415.8</v>
      </c>
      <c r="M46" s="381"/>
      <c r="N46" s="399"/>
      <c r="O46" s="397"/>
      <c r="P46" s="335"/>
      <c r="Q46" s="399"/>
      <c r="R46" s="397"/>
      <c r="S46" s="335"/>
      <c r="T46" s="585"/>
      <c r="U46" s="397"/>
      <c r="V46" s="335"/>
      <c r="W46" s="399">
        <v>99.3</v>
      </c>
      <c r="X46" s="397">
        <v>51.12</v>
      </c>
      <c r="Y46" s="335">
        <f t="shared" si="21"/>
        <v>-48.5</v>
      </c>
      <c r="Z46" s="399"/>
      <c r="AA46" s="397"/>
      <c r="AB46" s="335"/>
      <c r="AC46" s="399"/>
      <c r="AD46" s="397"/>
      <c r="AE46" s="335"/>
      <c r="AF46" s="399">
        <v>449.75799999999998</v>
      </c>
      <c r="AG46" s="397">
        <v>519.79399999999998</v>
      </c>
      <c r="AH46" s="335">
        <f t="shared" si="16"/>
        <v>15.6</v>
      </c>
      <c r="AI46" s="585">
        <v>24.7</v>
      </c>
      <c r="AJ46" s="397">
        <v>67</v>
      </c>
      <c r="AK46" s="335"/>
      <c r="AL46" s="394">
        <f t="shared" si="17"/>
        <v>857.33100000000002</v>
      </c>
      <c r="AM46" s="394">
        <f t="shared" si="17"/>
        <v>1545.85403395</v>
      </c>
      <c r="AN46" s="335">
        <f t="shared" si="18"/>
        <v>80.3</v>
      </c>
      <c r="AO46" s="394">
        <f t="shared" si="19"/>
        <v>857.33100000000002</v>
      </c>
      <c r="AP46" s="394">
        <f t="shared" si="19"/>
        <v>1545.85403395</v>
      </c>
      <c r="AQ46" s="398">
        <f t="shared" si="20"/>
        <v>80.3</v>
      </c>
      <c r="AR46" s="449"/>
      <c r="AS46" s="449"/>
      <c r="AT46" s="453"/>
    </row>
    <row r="47" spans="1:46" s="422" customFormat="1" ht="20.100000000000001" customHeight="1" x14ac:dyDescent="0.3">
      <c r="A47" s="414" t="s">
        <v>226</v>
      </c>
      <c r="B47" s="399"/>
      <c r="C47" s="397"/>
      <c r="D47" s="397"/>
      <c r="E47" s="399"/>
      <c r="F47" s="397"/>
      <c r="G47" s="397"/>
      <c r="H47" s="399"/>
      <c r="I47" s="397"/>
      <c r="J47" s="397"/>
      <c r="K47" s="399"/>
      <c r="L47" s="397"/>
      <c r="M47" s="381"/>
      <c r="N47" s="399"/>
      <c r="O47" s="397"/>
      <c r="P47" s="335"/>
      <c r="Q47" s="399"/>
      <c r="R47" s="397"/>
      <c r="S47" s="335"/>
      <c r="T47" s="585"/>
      <c r="U47" s="397"/>
      <c r="V47" s="335"/>
      <c r="W47" s="399"/>
      <c r="X47" s="397"/>
      <c r="Y47" s="335"/>
      <c r="Z47" s="399"/>
      <c r="AA47" s="397"/>
      <c r="AB47" s="335"/>
      <c r="AC47" s="399"/>
      <c r="AD47" s="397"/>
      <c r="AE47" s="335"/>
      <c r="AF47" s="399"/>
      <c r="AG47" s="397"/>
      <c r="AH47" s="335"/>
      <c r="AI47" s="585"/>
      <c r="AJ47" s="397"/>
      <c r="AK47" s="335"/>
      <c r="AL47" s="383"/>
      <c r="AM47" s="383"/>
      <c r="AN47" s="335"/>
      <c r="AO47" s="383"/>
      <c r="AP47" s="383"/>
      <c r="AQ47" s="398"/>
      <c r="AR47" s="449"/>
      <c r="AS47" s="449"/>
      <c r="AT47" s="453"/>
    </row>
    <row r="48" spans="1:46" s="422" customFormat="1" ht="20.100000000000001" customHeight="1" x14ac:dyDescent="0.3">
      <c r="A48" s="416" t="s">
        <v>227</v>
      </c>
      <c r="B48" s="399"/>
      <c r="C48" s="397"/>
      <c r="D48" s="397"/>
      <c r="E48" s="399"/>
      <c r="F48" s="397">
        <v>0</v>
      </c>
      <c r="G48" s="397"/>
      <c r="H48" s="399"/>
      <c r="I48" s="397"/>
      <c r="J48" s="397"/>
      <c r="K48" s="399"/>
      <c r="L48" s="397"/>
      <c r="M48" s="381"/>
      <c r="N48" s="399"/>
      <c r="O48" s="397"/>
      <c r="P48" s="335"/>
      <c r="Q48" s="399"/>
      <c r="R48" s="397"/>
      <c r="S48" s="335"/>
      <c r="T48" s="585"/>
      <c r="U48" s="397"/>
      <c r="V48" s="335"/>
      <c r="W48" s="399">
        <v>0</v>
      </c>
      <c r="X48" s="397">
        <v>0</v>
      </c>
      <c r="Y48" s="335"/>
      <c r="Z48" s="399"/>
      <c r="AA48" s="397"/>
      <c r="AB48" s="335"/>
      <c r="AC48" s="399"/>
      <c r="AD48" s="397"/>
      <c r="AE48" s="335"/>
      <c r="AF48" s="399"/>
      <c r="AG48" s="397"/>
      <c r="AH48" s="335"/>
      <c r="AI48" s="585"/>
      <c r="AJ48" s="397"/>
      <c r="AK48" s="335"/>
      <c r="AL48" s="394">
        <f t="shared" ref="AL48:AM62" si="26">B48+E48+H48+K48+Q48+T48+W48+Z48+AF48+AI48</f>
        <v>0</v>
      </c>
      <c r="AM48" s="394">
        <f t="shared" si="26"/>
        <v>0</v>
      </c>
      <c r="AN48" s="335" t="str">
        <f t="shared" si="18"/>
        <v xml:space="preserve">    ---- </v>
      </c>
      <c r="AO48" s="394">
        <f t="shared" ref="AO48:AP62" si="27">B48+E48+H48+K48+N48+Q48+T48+W48+Z48+AC48+AF48+AI48</f>
        <v>0</v>
      </c>
      <c r="AP48" s="394">
        <f t="shared" si="27"/>
        <v>0</v>
      </c>
      <c r="AQ48" s="398" t="str">
        <f t="shared" si="20"/>
        <v xml:space="preserve">    ---- </v>
      </c>
      <c r="AR48" s="449"/>
      <c r="AS48" s="449"/>
      <c r="AT48" s="453"/>
    </row>
    <row r="49" spans="1:46" s="422" customFormat="1" ht="20.100000000000001" customHeight="1" x14ac:dyDescent="0.3">
      <c r="A49" s="416" t="s">
        <v>228</v>
      </c>
      <c r="B49" s="399"/>
      <c r="C49" s="397"/>
      <c r="D49" s="397"/>
      <c r="E49" s="399"/>
      <c r="F49" s="397">
        <v>0</v>
      </c>
      <c r="G49" s="397"/>
      <c r="H49" s="399"/>
      <c r="I49" s="397"/>
      <c r="J49" s="397"/>
      <c r="K49" s="399"/>
      <c r="L49" s="397">
        <v>828.1</v>
      </c>
      <c r="M49" s="381"/>
      <c r="N49" s="399"/>
      <c r="O49" s="397"/>
      <c r="P49" s="335"/>
      <c r="Q49" s="399">
        <v>294.13022688000001</v>
      </c>
      <c r="R49" s="397">
        <v>312.97716487999998</v>
      </c>
      <c r="S49" s="335">
        <f t="shared" ref="S49:S60" si="28">IF(Q49=0, "    ---- ", IF(ABS(ROUND(100/Q49*R49-100,1))&lt;999,ROUND(100/Q49*R49-100,1),IF(ROUND(100/Q49*R49-100,1)&gt;999,999,-999)))</f>
        <v>6.4</v>
      </c>
      <c r="T49" s="585"/>
      <c r="U49" s="397"/>
      <c r="V49" s="335"/>
      <c r="W49" s="399">
        <v>0</v>
      </c>
      <c r="X49" s="397">
        <v>0</v>
      </c>
      <c r="Y49" s="335"/>
      <c r="Z49" s="399"/>
      <c r="AA49" s="397"/>
      <c r="AB49" s="335"/>
      <c r="AC49" s="399"/>
      <c r="AD49" s="397"/>
      <c r="AE49" s="335"/>
      <c r="AF49" s="399"/>
      <c r="AG49" s="397"/>
      <c r="AH49" s="335"/>
      <c r="AI49" s="585">
        <v>4041.4</v>
      </c>
      <c r="AJ49" s="397">
        <v>17941</v>
      </c>
      <c r="AK49" s="335">
        <f t="shared" si="22"/>
        <v>343.9</v>
      </c>
      <c r="AL49" s="394">
        <f t="shared" si="26"/>
        <v>4335.5302268800006</v>
      </c>
      <c r="AM49" s="394">
        <f t="shared" si="26"/>
        <v>19082.07716488</v>
      </c>
      <c r="AN49" s="335">
        <f t="shared" si="18"/>
        <v>340.1</v>
      </c>
      <c r="AO49" s="394">
        <f t="shared" si="27"/>
        <v>4335.5302268800006</v>
      </c>
      <c r="AP49" s="394">
        <f t="shared" si="27"/>
        <v>19082.07716488</v>
      </c>
      <c r="AQ49" s="398">
        <f t="shared" si="20"/>
        <v>340.1</v>
      </c>
      <c r="AR49" s="449"/>
      <c r="AS49" s="449"/>
      <c r="AT49" s="453"/>
    </row>
    <row r="50" spans="1:46" s="422" customFormat="1" ht="20.100000000000001" customHeight="1" x14ac:dyDescent="0.3">
      <c r="A50" s="416" t="s">
        <v>229</v>
      </c>
      <c r="B50" s="399">
        <v>0</v>
      </c>
      <c r="C50" s="397">
        <f>SUM(C51+C53)</f>
        <v>0</v>
      </c>
      <c r="D50" s="397"/>
      <c r="E50" s="399">
        <v>0</v>
      </c>
      <c r="F50" s="397">
        <f>SUM(F51+F53)</f>
        <v>0</v>
      </c>
      <c r="G50" s="397"/>
      <c r="H50" s="399">
        <v>0</v>
      </c>
      <c r="I50" s="397">
        <f>SUM(I51+I53)</f>
        <v>0</v>
      </c>
      <c r="J50" s="397"/>
      <c r="K50" s="399">
        <f>SUM(K51+K53)</f>
        <v>0</v>
      </c>
      <c r="L50" s="397">
        <f>SUM(L51+L53)</f>
        <v>0</v>
      </c>
      <c r="M50" s="381"/>
      <c r="N50" s="399"/>
      <c r="O50" s="397"/>
      <c r="P50" s="335"/>
      <c r="Q50" s="399">
        <v>858.41031075000001</v>
      </c>
      <c r="R50" s="397">
        <f>SUM(R51+R53)</f>
        <v>892.83497797999996</v>
      </c>
      <c r="S50" s="335">
        <f t="shared" si="28"/>
        <v>4</v>
      </c>
      <c r="T50" s="585">
        <v>0</v>
      </c>
      <c r="U50" s="397">
        <f>SUM(U51+U53)</f>
        <v>0</v>
      </c>
      <c r="V50" s="335"/>
      <c r="W50" s="399">
        <v>0</v>
      </c>
      <c r="X50" s="397">
        <f>SUM(X51+X53)</f>
        <v>0</v>
      </c>
      <c r="Y50" s="335"/>
      <c r="Z50" s="399">
        <v>0</v>
      </c>
      <c r="AA50" s="397">
        <f>SUM(AA51+AA53)</f>
        <v>0</v>
      </c>
      <c r="AB50" s="335"/>
      <c r="AC50" s="399"/>
      <c r="AD50" s="397"/>
      <c r="AE50" s="335"/>
      <c r="AF50" s="399">
        <f>SUM(AF51+AF53)</f>
        <v>0</v>
      </c>
      <c r="AG50" s="397">
        <f>SUM(AG51+AG53)</f>
        <v>0</v>
      </c>
      <c r="AH50" s="335"/>
      <c r="AI50" s="585">
        <f>SUM(AI51+AI53)</f>
        <v>307.10000000000002</v>
      </c>
      <c r="AJ50" s="397">
        <f>SUM(AJ51+AJ53)</f>
        <v>809</v>
      </c>
      <c r="AK50" s="335"/>
      <c r="AL50" s="394">
        <f t="shared" si="26"/>
        <v>1165.5103107499999</v>
      </c>
      <c r="AM50" s="394">
        <f t="shared" si="26"/>
        <v>1701.8349779800001</v>
      </c>
      <c r="AN50" s="335">
        <f t="shared" si="18"/>
        <v>46</v>
      </c>
      <c r="AO50" s="394">
        <f t="shared" si="27"/>
        <v>1165.5103107499999</v>
      </c>
      <c r="AP50" s="394">
        <f t="shared" si="27"/>
        <v>1701.8349779800001</v>
      </c>
      <c r="AQ50" s="398">
        <f t="shared" si="20"/>
        <v>46</v>
      </c>
      <c r="AR50" s="449"/>
      <c r="AS50" s="449"/>
      <c r="AT50" s="453"/>
    </row>
    <row r="51" spans="1:46" s="422" customFormat="1" ht="20.100000000000001" customHeight="1" x14ac:dyDescent="0.3">
      <c r="A51" s="416" t="s">
        <v>230</v>
      </c>
      <c r="B51" s="399"/>
      <c r="C51" s="397"/>
      <c r="D51" s="335"/>
      <c r="E51" s="399"/>
      <c r="F51" s="397">
        <v>0</v>
      </c>
      <c r="G51" s="335"/>
      <c r="H51" s="399"/>
      <c r="I51" s="397"/>
      <c r="J51" s="335"/>
      <c r="K51" s="399"/>
      <c r="L51" s="397"/>
      <c r="M51" s="381"/>
      <c r="N51" s="399"/>
      <c r="O51" s="397"/>
      <c r="P51" s="335"/>
      <c r="Q51" s="399">
        <v>89.724899219999998</v>
      </c>
      <c r="R51" s="397">
        <v>81.417462839999999</v>
      </c>
      <c r="S51" s="335">
        <f t="shared" si="28"/>
        <v>-9.3000000000000007</v>
      </c>
      <c r="T51" s="585"/>
      <c r="U51" s="397"/>
      <c r="V51" s="335"/>
      <c r="W51" s="399"/>
      <c r="X51" s="397"/>
      <c r="Y51" s="335"/>
      <c r="Z51" s="399"/>
      <c r="AA51" s="397"/>
      <c r="AB51" s="335"/>
      <c r="AC51" s="399"/>
      <c r="AD51" s="397"/>
      <c r="AE51" s="335"/>
      <c r="AF51" s="399"/>
      <c r="AG51" s="397"/>
      <c r="AH51" s="335"/>
      <c r="AI51" s="585"/>
      <c r="AJ51" s="397"/>
      <c r="AK51" s="335"/>
      <c r="AL51" s="394">
        <f t="shared" si="26"/>
        <v>89.724899219999998</v>
      </c>
      <c r="AM51" s="394">
        <f t="shared" si="26"/>
        <v>81.417462839999999</v>
      </c>
      <c r="AN51" s="335">
        <f t="shared" si="18"/>
        <v>-9.3000000000000007</v>
      </c>
      <c r="AO51" s="394">
        <f t="shared" si="27"/>
        <v>89.724899219999998</v>
      </c>
      <c r="AP51" s="394">
        <f t="shared" si="27"/>
        <v>81.417462839999999</v>
      </c>
      <c r="AQ51" s="398">
        <f t="shared" si="20"/>
        <v>-9.3000000000000007</v>
      </c>
      <c r="AR51" s="449"/>
      <c r="AS51" s="449"/>
      <c r="AT51" s="453"/>
    </row>
    <row r="52" spans="1:46" s="451" customFormat="1" ht="20.100000000000001" customHeight="1" x14ac:dyDescent="0.3">
      <c r="A52" s="416" t="s">
        <v>200</v>
      </c>
      <c r="B52" s="395"/>
      <c r="C52" s="393"/>
      <c r="D52" s="393"/>
      <c r="E52" s="395"/>
      <c r="F52" s="393">
        <v>0</v>
      </c>
      <c r="G52" s="393"/>
      <c r="H52" s="395"/>
      <c r="I52" s="393"/>
      <c r="J52" s="393"/>
      <c r="K52" s="395"/>
      <c r="L52" s="393"/>
      <c r="M52" s="391"/>
      <c r="N52" s="395"/>
      <c r="O52" s="393"/>
      <c r="P52" s="393"/>
      <c r="Q52" s="395">
        <v>89.724899219999998</v>
      </c>
      <c r="R52" s="393">
        <v>81.417462839999999</v>
      </c>
      <c r="S52" s="393"/>
      <c r="T52" s="568"/>
      <c r="U52" s="393"/>
      <c r="V52" s="393"/>
      <c r="W52" s="395"/>
      <c r="X52" s="393"/>
      <c r="Y52" s="393"/>
      <c r="Z52" s="395"/>
      <c r="AA52" s="393"/>
      <c r="AB52" s="393"/>
      <c r="AC52" s="395"/>
      <c r="AD52" s="393"/>
      <c r="AE52" s="393"/>
      <c r="AF52" s="395"/>
      <c r="AG52" s="393"/>
      <c r="AH52" s="393"/>
      <c r="AI52" s="568"/>
      <c r="AJ52" s="393"/>
      <c r="AK52" s="393"/>
      <c r="AL52" s="394">
        <f t="shared" si="26"/>
        <v>89.724899219999998</v>
      </c>
      <c r="AM52" s="394">
        <f t="shared" si="26"/>
        <v>81.417462839999999</v>
      </c>
      <c r="AN52" s="393">
        <f t="shared" si="18"/>
        <v>-9.3000000000000007</v>
      </c>
      <c r="AO52" s="394">
        <f t="shared" si="27"/>
        <v>89.724899219999998</v>
      </c>
      <c r="AP52" s="394">
        <f t="shared" si="27"/>
        <v>81.417462839999999</v>
      </c>
      <c r="AQ52" s="396">
        <f t="shared" si="20"/>
        <v>-9.3000000000000007</v>
      </c>
      <c r="AR52" s="450"/>
      <c r="AS52" s="450"/>
      <c r="AT52" s="452"/>
    </row>
    <row r="53" spans="1:46" s="422" customFormat="1" ht="20.100000000000001" customHeight="1" x14ac:dyDescent="0.3">
      <c r="A53" s="416" t="s">
        <v>231</v>
      </c>
      <c r="B53" s="399"/>
      <c r="C53" s="397"/>
      <c r="D53" s="397"/>
      <c r="E53" s="399"/>
      <c r="F53" s="397">
        <v>0</v>
      </c>
      <c r="G53" s="397"/>
      <c r="H53" s="399"/>
      <c r="I53" s="397"/>
      <c r="J53" s="397"/>
      <c r="K53" s="399"/>
      <c r="L53" s="397"/>
      <c r="M53" s="381"/>
      <c r="N53" s="399"/>
      <c r="O53" s="397"/>
      <c r="P53" s="335"/>
      <c r="Q53" s="399">
        <v>768.68541153000001</v>
      </c>
      <c r="R53" s="397">
        <v>811.41751513999998</v>
      </c>
      <c r="S53" s="335">
        <f t="shared" si="28"/>
        <v>5.6</v>
      </c>
      <c r="T53" s="585"/>
      <c r="U53" s="397"/>
      <c r="V53" s="335"/>
      <c r="W53" s="399"/>
      <c r="X53" s="397"/>
      <c r="Y53" s="335"/>
      <c r="Z53" s="399"/>
      <c r="AA53" s="397"/>
      <c r="AB53" s="335"/>
      <c r="AC53" s="399"/>
      <c r="AD53" s="397"/>
      <c r="AE53" s="335"/>
      <c r="AF53" s="399"/>
      <c r="AG53" s="397"/>
      <c r="AH53" s="335"/>
      <c r="AI53" s="585">
        <v>307.10000000000002</v>
      </c>
      <c r="AJ53" s="397">
        <v>809</v>
      </c>
      <c r="AK53" s="335"/>
      <c r="AL53" s="394">
        <f t="shared" si="26"/>
        <v>1075.7854115300001</v>
      </c>
      <c r="AM53" s="394">
        <f t="shared" si="26"/>
        <v>1620.41751514</v>
      </c>
      <c r="AN53" s="335">
        <f t="shared" si="18"/>
        <v>50.6</v>
      </c>
      <c r="AO53" s="394">
        <f t="shared" si="27"/>
        <v>1075.7854115300001</v>
      </c>
      <c r="AP53" s="394">
        <f t="shared" si="27"/>
        <v>1620.41751514</v>
      </c>
      <c r="AQ53" s="398">
        <f t="shared" si="20"/>
        <v>50.6</v>
      </c>
      <c r="AR53" s="449"/>
      <c r="AS53" s="449"/>
      <c r="AT53" s="453"/>
    </row>
    <row r="54" spans="1:46" s="422" customFormat="1" ht="20.100000000000001" customHeight="1" x14ac:dyDescent="0.3">
      <c r="A54" s="416" t="s">
        <v>232</v>
      </c>
      <c r="B54" s="399">
        <v>17266.330000000002</v>
      </c>
      <c r="C54" s="397">
        <f>SUM(C55:C59)</f>
        <v>19030.607</v>
      </c>
      <c r="D54" s="397">
        <f>IF(B54=0, "    ---- ", IF(ABS(ROUND(100/B54*C54-100,1))&lt;999,ROUND(100/B54*C54-100,1),IF(ROUND(100/B54*C54-100,1)&gt;999,999,-999)))</f>
        <v>10.199999999999999</v>
      </c>
      <c r="E54" s="399">
        <v>78277.486999999994</v>
      </c>
      <c r="F54" s="397">
        <f>SUM(F55:F59)</f>
        <v>89715.002026679911</v>
      </c>
      <c r="G54" s="397">
        <f t="shared" si="14"/>
        <v>14.6</v>
      </c>
      <c r="H54" s="399">
        <v>3320</v>
      </c>
      <c r="I54" s="397">
        <f>SUM(I55:I59)</f>
        <v>3826.7869999999998</v>
      </c>
      <c r="J54" s="397">
        <f>IF(H54=0, "    ---- ", IF(ABS(ROUND(100/H54*I54-100,1))&lt;999,ROUND(100/H54*I54-100,1),IF(ROUND(100/H54*I54-100,1)&gt;999,999,-999)))</f>
        <v>15.3</v>
      </c>
      <c r="K54" s="399">
        <f>SUM(K55:K59)</f>
        <v>23905</v>
      </c>
      <c r="L54" s="397">
        <f>SUM(L55:L59)</f>
        <v>26393.200000000001</v>
      </c>
      <c r="M54" s="381">
        <f t="shared" si="23"/>
        <v>10.4</v>
      </c>
      <c r="N54" s="399"/>
      <c r="O54" s="397"/>
      <c r="P54" s="335"/>
      <c r="Q54" s="399">
        <v>1334.7293613100001</v>
      </c>
      <c r="R54" s="397">
        <f>SUM(R55:R59)</f>
        <v>1382.78617399</v>
      </c>
      <c r="S54" s="335">
        <f t="shared" si="28"/>
        <v>3.6</v>
      </c>
      <c r="T54" s="585">
        <v>3075.1410000000001</v>
      </c>
      <c r="U54" s="397">
        <v>4242.2250000000004</v>
      </c>
      <c r="V54" s="335">
        <f>IF(T54=0, "    ---- ", IF(ABS(ROUND(100/T54*U54-100,1))&lt;999,ROUND(100/T54*U54-100,1),IF(ROUND(100/T54*U54-100,1)&gt;999,999,-999)))</f>
        <v>38</v>
      </c>
      <c r="W54" s="399">
        <v>60641.55</v>
      </c>
      <c r="X54" s="397">
        <f>SUM(X55:X59)</f>
        <v>68352.479999999996</v>
      </c>
      <c r="Y54" s="335">
        <f t="shared" si="21"/>
        <v>12.7</v>
      </c>
      <c r="Z54" s="399">
        <v>0</v>
      </c>
      <c r="AA54" s="397">
        <f>SUM(AA55:AA59)</f>
        <v>0</v>
      </c>
      <c r="AB54" s="335"/>
      <c r="AC54" s="399">
        <v>2164</v>
      </c>
      <c r="AD54" s="397">
        <f>SUM(AD55:AD59)</f>
        <v>2309.4846787400002</v>
      </c>
      <c r="AE54" s="335">
        <f>IF(AC54=0, "    ---- ", IF(ABS(ROUND(100/AC54*AD54-100,1))&lt;999,ROUND(100/AC54*AD54-100,1),IF(ROUND(100/AC54*AD54-100,1)&gt;999,999,-999)))</f>
        <v>6.7</v>
      </c>
      <c r="AF54" s="399">
        <f>SUM(AF55:AF59)</f>
        <v>28193.079999999998</v>
      </c>
      <c r="AG54" s="397">
        <f>SUM(AG55:AG59)</f>
        <v>32178.036999999997</v>
      </c>
      <c r="AH54" s="335">
        <f t="shared" si="16"/>
        <v>14.1</v>
      </c>
      <c r="AI54" s="585">
        <f>SUM(AI55:AI59)</f>
        <v>89399.6</v>
      </c>
      <c r="AJ54" s="397">
        <f>SUM(AJ55:AJ59)</f>
        <v>85434</v>
      </c>
      <c r="AK54" s="335">
        <f t="shared" si="22"/>
        <v>-4.4000000000000004</v>
      </c>
      <c r="AL54" s="394">
        <f t="shared" si="26"/>
        <v>305412.91736130998</v>
      </c>
      <c r="AM54" s="394">
        <f t="shared" si="26"/>
        <v>330555.12420066993</v>
      </c>
      <c r="AN54" s="335">
        <f t="shared" si="18"/>
        <v>8.1999999999999993</v>
      </c>
      <c r="AO54" s="394">
        <f t="shared" si="27"/>
        <v>307576.91736130998</v>
      </c>
      <c r="AP54" s="394">
        <f t="shared" si="27"/>
        <v>332864.60887940991</v>
      </c>
      <c r="AQ54" s="398">
        <f t="shared" si="20"/>
        <v>8.1999999999999993</v>
      </c>
      <c r="AR54" s="449"/>
      <c r="AS54" s="449"/>
      <c r="AT54" s="453"/>
    </row>
    <row r="55" spans="1:46" s="422" customFormat="1" ht="20.100000000000001" customHeight="1" x14ac:dyDescent="0.3">
      <c r="A55" s="416" t="s">
        <v>233</v>
      </c>
      <c r="B55" s="399">
        <v>10211.422</v>
      </c>
      <c r="C55" s="397">
        <v>11396.734</v>
      </c>
      <c r="D55" s="397">
        <f>IF(B55=0, "    ---- ", IF(ABS(ROUND(100/B55*C55-100,1))&lt;999,ROUND(100/B55*C55-100,1),IF(ROUND(100/B55*C55-100,1)&gt;999,999,-999)))</f>
        <v>11.6</v>
      </c>
      <c r="E55" s="399">
        <v>42562.714</v>
      </c>
      <c r="F55" s="397">
        <v>49291.058191419899</v>
      </c>
      <c r="G55" s="397">
        <f t="shared" si="14"/>
        <v>15.8</v>
      </c>
      <c r="H55" s="399">
        <v>2181</v>
      </c>
      <c r="I55" s="397">
        <f>3826.787-I59</f>
        <v>2519.7869999999998</v>
      </c>
      <c r="J55" s="397">
        <f>IF(H55=0, "    ---- ", IF(ABS(ROUND(100/H55*I55-100,1))&lt;999,ROUND(100/H55*I55-100,1),IF(ROUND(100/H55*I55-100,1)&gt;999,999,-999)))</f>
        <v>15.5</v>
      </c>
      <c r="K55" s="399">
        <v>20889</v>
      </c>
      <c r="L55" s="397">
        <v>23341.4</v>
      </c>
      <c r="M55" s="381">
        <f t="shared" si="23"/>
        <v>11.7</v>
      </c>
      <c r="N55" s="399"/>
      <c r="O55" s="397"/>
      <c r="P55" s="335"/>
      <c r="Q55" s="399">
        <v>645.7424959299999</v>
      </c>
      <c r="R55" s="397">
        <v>732.74725937000005</v>
      </c>
      <c r="S55" s="335">
        <f t="shared" si="28"/>
        <v>13.5</v>
      </c>
      <c r="T55" s="585">
        <v>3060.808</v>
      </c>
      <c r="U55" s="397">
        <v>4239.9260000000004</v>
      </c>
      <c r="V55" s="335">
        <f>IF(T55=0, "    ---- ", IF(ABS(ROUND(100/T55*U55-100,1))&lt;999,ROUND(100/T55*U55-100,1),IF(ROUND(100/T55*U55-100,1)&gt;999,999,-999)))</f>
        <v>38.5</v>
      </c>
      <c r="W55" s="399">
        <v>60144.97</v>
      </c>
      <c r="X55" s="397">
        <v>34782.269999999997</v>
      </c>
      <c r="Y55" s="335">
        <f t="shared" si="21"/>
        <v>-42.2</v>
      </c>
      <c r="Z55" s="399"/>
      <c r="AA55" s="397"/>
      <c r="AB55" s="335"/>
      <c r="AC55" s="399">
        <v>2164</v>
      </c>
      <c r="AD55" s="397">
        <v>2309.4846787400002</v>
      </c>
      <c r="AE55" s="335">
        <f>IF(AC55=0, "    ---- ", IF(ABS(ROUND(100/AC55*AD55-100,1))&lt;999,ROUND(100/AC55*AD55-100,1),IF(ROUND(100/AC55*AD55-100,1)&gt;999,999,-999)))</f>
        <v>6.7</v>
      </c>
      <c r="AF55" s="399">
        <v>16809.406999999999</v>
      </c>
      <c r="AG55" s="397">
        <v>19339.812999999998</v>
      </c>
      <c r="AH55" s="335">
        <f t="shared" si="16"/>
        <v>15.1</v>
      </c>
      <c r="AI55" s="585">
        <v>55831.9</v>
      </c>
      <c r="AJ55" s="397">
        <v>48395</v>
      </c>
      <c r="AK55" s="335">
        <f t="shared" si="22"/>
        <v>-13.3</v>
      </c>
      <c r="AL55" s="394">
        <f t="shared" si="26"/>
        <v>212336.96349592999</v>
      </c>
      <c r="AM55" s="394">
        <f t="shared" si="26"/>
        <v>194038.73545078989</v>
      </c>
      <c r="AN55" s="335">
        <f t="shared" si="18"/>
        <v>-8.6</v>
      </c>
      <c r="AO55" s="394">
        <f t="shared" si="27"/>
        <v>214500.96349592999</v>
      </c>
      <c r="AP55" s="394">
        <f t="shared" si="27"/>
        <v>196348.22012952989</v>
      </c>
      <c r="AQ55" s="398">
        <f t="shared" si="20"/>
        <v>-8.5</v>
      </c>
      <c r="AR55" s="449"/>
      <c r="AS55" s="449"/>
      <c r="AT55" s="453"/>
    </row>
    <row r="56" spans="1:46" s="422" customFormat="1" ht="20.100000000000001" customHeight="1" x14ac:dyDescent="0.3">
      <c r="A56" s="416" t="s">
        <v>234</v>
      </c>
      <c r="B56" s="399">
        <v>6789.8739999999998</v>
      </c>
      <c r="C56" s="397">
        <v>7196.6419999999998</v>
      </c>
      <c r="D56" s="397">
        <f>IF(B56=0, "    ---- ", IF(ABS(ROUND(100/B56*C56-100,1))&lt;999,ROUND(100/B56*C56-100,1),IF(ROUND(100/B56*C56-100,1)&gt;999,999,-999)))</f>
        <v>6</v>
      </c>
      <c r="E56" s="399">
        <v>34166.000999999997</v>
      </c>
      <c r="F56" s="397">
        <v>38988.026117280002</v>
      </c>
      <c r="G56" s="397">
        <f t="shared" si="14"/>
        <v>14.1</v>
      </c>
      <c r="H56" s="399"/>
      <c r="I56" s="397"/>
      <c r="J56" s="397" t="str">
        <f>IF(H56=0, "    ---- ", IF(ABS(ROUND(100/H56*I56-100,1))&lt;999,ROUND(100/H56*I56-100,1),IF(ROUND(100/H56*I56-100,1)&gt;999,999,-999)))</f>
        <v xml:space="preserve">    ---- </v>
      </c>
      <c r="K56" s="399">
        <v>2946</v>
      </c>
      <c r="L56" s="397">
        <v>2965.6</v>
      </c>
      <c r="M56" s="381">
        <f t="shared" si="23"/>
        <v>0.7</v>
      </c>
      <c r="N56" s="399"/>
      <c r="O56" s="397"/>
      <c r="P56" s="335"/>
      <c r="Q56" s="399">
        <v>593.70461836000004</v>
      </c>
      <c r="R56" s="397">
        <v>546.33178662</v>
      </c>
      <c r="S56" s="335">
        <f t="shared" si="28"/>
        <v>-8</v>
      </c>
      <c r="T56" s="585"/>
      <c r="U56" s="397"/>
      <c r="V56" s="335" t="str">
        <f>IF(T56=0, "    ---- ", IF(ABS(ROUND(100/T56*U56-100,1))&lt;999,ROUND(100/T56*U56-100,1),IF(ROUND(100/T56*U56-100,1)&gt;999,999,-999)))</f>
        <v xml:space="preserve">    ---- </v>
      </c>
      <c r="W56" s="399">
        <v>0</v>
      </c>
      <c r="X56" s="397">
        <v>33049.199999999997</v>
      </c>
      <c r="Y56" s="335"/>
      <c r="Z56" s="399"/>
      <c r="AA56" s="397"/>
      <c r="AB56" s="335"/>
      <c r="AC56" s="399"/>
      <c r="AD56" s="397"/>
      <c r="AE56" s="335"/>
      <c r="AF56" s="399">
        <v>11273.912</v>
      </c>
      <c r="AG56" s="397">
        <v>12618.858</v>
      </c>
      <c r="AH56" s="335">
        <f t="shared" si="16"/>
        <v>11.9</v>
      </c>
      <c r="AI56" s="585">
        <v>33453.1</v>
      </c>
      <c r="AJ56" s="397">
        <v>36290</v>
      </c>
      <c r="AK56" s="335">
        <f t="shared" si="22"/>
        <v>8.5</v>
      </c>
      <c r="AL56" s="394">
        <f t="shared" si="26"/>
        <v>89222.591618359991</v>
      </c>
      <c r="AM56" s="394">
        <f t="shared" si="26"/>
        <v>131654.65790389999</v>
      </c>
      <c r="AN56" s="335">
        <f t="shared" si="18"/>
        <v>47.6</v>
      </c>
      <c r="AO56" s="394">
        <f t="shared" si="27"/>
        <v>89222.591618359991</v>
      </c>
      <c r="AP56" s="394">
        <f t="shared" si="27"/>
        <v>131654.65790389999</v>
      </c>
      <c r="AQ56" s="398">
        <f t="shared" si="20"/>
        <v>47.6</v>
      </c>
      <c r="AR56" s="449"/>
      <c r="AS56" s="449"/>
      <c r="AT56" s="453"/>
    </row>
    <row r="57" spans="1:46" s="422" customFormat="1" ht="20.100000000000001" customHeight="1" x14ac:dyDescent="0.3">
      <c r="A57" s="416" t="s">
        <v>235</v>
      </c>
      <c r="B57" s="399"/>
      <c r="C57" s="397"/>
      <c r="D57" s="335"/>
      <c r="E57" s="399">
        <v>1548.7719999999999</v>
      </c>
      <c r="F57" s="397">
        <v>1435.9177179799999</v>
      </c>
      <c r="G57" s="335">
        <f t="shared" si="14"/>
        <v>-7.3</v>
      </c>
      <c r="H57" s="399"/>
      <c r="I57" s="397"/>
      <c r="J57" s="335"/>
      <c r="K57" s="399">
        <v>45</v>
      </c>
      <c r="L57" s="397"/>
      <c r="M57" s="335">
        <f t="shared" si="23"/>
        <v>-100</v>
      </c>
      <c r="N57" s="399"/>
      <c r="O57" s="397"/>
      <c r="P57" s="335"/>
      <c r="Q57" s="399">
        <v>90.939993340000001</v>
      </c>
      <c r="R57" s="397">
        <v>100.21447695000001</v>
      </c>
      <c r="S57" s="335">
        <f t="shared" si="28"/>
        <v>10.199999999999999</v>
      </c>
      <c r="T57" s="585">
        <v>14.332000000000001</v>
      </c>
      <c r="U57" s="397">
        <v>2.2989999999999999</v>
      </c>
      <c r="V57" s="335">
        <f>IF(T57=0, "    ---- ", IF(ABS(ROUND(100/T57*U57-100,1))&lt;999,ROUND(100/T57*U57-100,1),IF(ROUND(100/T57*U57-100,1)&gt;999,999,-999)))</f>
        <v>-84</v>
      </c>
      <c r="W57" s="399">
        <v>0</v>
      </c>
      <c r="X57" s="397">
        <v>0</v>
      </c>
      <c r="Y57" s="335"/>
      <c r="Z57" s="399"/>
      <c r="AA57" s="397"/>
      <c r="AB57" s="335"/>
      <c r="AC57" s="399"/>
      <c r="AD57" s="397"/>
      <c r="AE57" s="335"/>
      <c r="AF57" s="399">
        <v>0</v>
      </c>
      <c r="AG57" s="397">
        <v>0</v>
      </c>
      <c r="AH57" s="335"/>
      <c r="AI57" s="585"/>
      <c r="AJ57" s="397">
        <v>340</v>
      </c>
      <c r="AK57" s="335" t="str">
        <f t="shared" si="22"/>
        <v xml:space="preserve">    ---- </v>
      </c>
      <c r="AL57" s="394">
        <f t="shared" si="26"/>
        <v>1699.04399334</v>
      </c>
      <c r="AM57" s="394">
        <f t="shared" si="26"/>
        <v>1878.4311949299999</v>
      </c>
      <c r="AN57" s="335">
        <f t="shared" si="18"/>
        <v>10.6</v>
      </c>
      <c r="AO57" s="394">
        <f t="shared" si="27"/>
        <v>1699.04399334</v>
      </c>
      <c r="AP57" s="394">
        <f t="shared" si="27"/>
        <v>1878.4311949299999</v>
      </c>
      <c r="AQ57" s="398">
        <f t="shared" si="20"/>
        <v>10.6</v>
      </c>
      <c r="AR57" s="449"/>
      <c r="AS57" s="449"/>
      <c r="AT57" s="453"/>
    </row>
    <row r="58" spans="1:46" s="422" customFormat="1" ht="20.100000000000001" customHeight="1" x14ac:dyDescent="0.3">
      <c r="A58" s="416" t="s">
        <v>236</v>
      </c>
      <c r="B58" s="399">
        <v>-15.145</v>
      </c>
      <c r="C58" s="397">
        <v>-10.679</v>
      </c>
      <c r="D58" s="335"/>
      <c r="E58" s="399"/>
      <c r="F58" s="397"/>
      <c r="G58" s="335"/>
      <c r="H58" s="399"/>
      <c r="I58" s="397"/>
      <c r="J58" s="335"/>
      <c r="K58" s="399"/>
      <c r="L58" s="397"/>
      <c r="M58" s="335"/>
      <c r="N58" s="399"/>
      <c r="O58" s="397"/>
      <c r="P58" s="335"/>
      <c r="Q58" s="399">
        <v>3.1290144100000004</v>
      </c>
      <c r="R58" s="397">
        <v>2.7657987200000003</v>
      </c>
      <c r="S58" s="335">
        <f t="shared" si="28"/>
        <v>-11.6</v>
      </c>
      <c r="T58" s="585"/>
      <c r="U58" s="397"/>
      <c r="V58" s="335"/>
      <c r="W58" s="399">
        <v>0</v>
      </c>
      <c r="X58" s="397">
        <v>0</v>
      </c>
      <c r="Y58" s="335"/>
      <c r="Z58" s="399"/>
      <c r="AA58" s="397"/>
      <c r="AB58" s="335"/>
      <c r="AC58" s="399"/>
      <c r="AD58" s="397"/>
      <c r="AE58" s="335"/>
      <c r="AF58" s="399">
        <v>0</v>
      </c>
      <c r="AG58" s="397">
        <v>140.31700000000001</v>
      </c>
      <c r="AH58" s="335"/>
      <c r="AI58" s="585">
        <v>114.6</v>
      </c>
      <c r="AJ58" s="397">
        <v>409</v>
      </c>
      <c r="AK58" s="335">
        <f t="shared" si="22"/>
        <v>256.89999999999998</v>
      </c>
      <c r="AL58" s="394">
        <f t="shared" si="26"/>
        <v>102.58401440999999</v>
      </c>
      <c r="AM58" s="394">
        <f t="shared" si="26"/>
        <v>541.40379871999994</v>
      </c>
      <c r="AN58" s="335">
        <f t="shared" si="18"/>
        <v>427.8</v>
      </c>
      <c r="AO58" s="394">
        <f t="shared" si="27"/>
        <v>102.58401440999999</v>
      </c>
      <c r="AP58" s="394">
        <f t="shared" si="27"/>
        <v>541.40379871999994</v>
      </c>
      <c r="AQ58" s="398">
        <f t="shared" si="20"/>
        <v>427.8</v>
      </c>
      <c r="AR58" s="449"/>
      <c r="AS58" s="449"/>
      <c r="AT58" s="453"/>
    </row>
    <row r="59" spans="1:46" s="422" customFormat="1" ht="20.100000000000001" customHeight="1" x14ac:dyDescent="0.3">
      <c r="A59" s="416" t="s">
        <v>237</v>
      </c>
      <c r="B59" s="399">
        <v>280.17899999999997</v>
      </c>
      <c r="C59" s="397">
        <f>342.033+105.877</f>
        <v>447.91</v>
      </c>
      <c r="D59" s="335">
        <f>IF(B59=0, "    ---- ", IF(ABS(ROUND(100/B59*C59-100,1))&lt;999,ROUND(100/B59*C59-100,1),IF(ROUND(100/B59*C59-100,1)&gt;999,999,-999)))</f>
        <v>59.9</v>
      </c>
      <c r="E59" s="399"/>
      <c r="F59" s="397"/>
      <c r="G59" s="335"/>
      <c r="H59" s="399">
        <v>1139</v>
      </c>
      <c r="I59" s="397">
        <v>1307</v>
      </c>
      <c r="J59" s="335">
        <f>IF(H59=0, "    ---- ", IF(ABS(ROUND(100/H59*I59-100,1))&lt;999,ROUND(100/H59*I59-100,1),IF(ROUND(100/H59*I59-100,1)&gt;999,999,-999)))</f>
        <v>14.7</v>
      </c>
      <c r="K59" s="399">
        <v>25</v>
      </c>
      <c r="L59" s="397">
        <f>45.8+40.4</f>
        <v>86.199999999999989</v>
      </c>
      <c r="M59" s="335">
        <f>IF(K59=0, "    ---- ", IF(ABS(ROUND(100/K59*L59-100,1))&lt;999,ROUND(100/K59*L59-100,1),IF(ROUND(100/K59*L59-100,1)&gt;999,999,-999)))</f>
        <v>244.8</v>
      </c>
      <c r="N59" s="399"/>
      <c r="O59" s="397"/>
      <c r="P59" s="335"/>
      <c r="Q59" s="399">
        <v>1.2132392700000001</v>
      </c>
      <c r="R59" s="397">
        <v>0.72685232999999994</v>
      </c>
      <c r="S59" s="335">
        <f t="shared" si="28"/>
        <v>-40.1</v>
      </c>
      <c r="T59" s="585"/>
      <c r="U59" s="397"/>
      <c r="V59" s="335"/>
      <c r="W59" s="399">
        <v>496.58</v>
      </c>
      <c r="X59" s="397">
        <v>521.01</v>
      </c>
      <c r="Y59" s="335">
        <f t="shared" si="21"/>
        <v>4.9000000000000004</v>
      </c>
      <c r="Z59" s="399"/>
      <c r="AA59" s="397"/>
      <c r="AB59" s="335"/>
      <c r="AC59" s="399"/>
      <c r="AD59" s="397"/>
      <c r="AE59" s="335"/>
      <c r="AF59" s="399">
        <v>109.761</v>
      </c>
      <c r="AG59" s="397">
        <v>79.049000000000007</v>
      </c>
      <c r="AH59" s="335">
        <f t="shared" si="16"/>
        <v>-28</v>
      </c>
      <c r="AI59" s="585"/>
      <c r="AJ59" s="397"/>
      <c r="AK59" s="335" t="str">
        <f t="shared" si="22"/>
        <v xml:space="preserve">    ---- </v>
      </c>
      <c r="AL59" s="394">
        <f t="shared" si="26"/>
        <v>2051.73323927</v>
      </c>
      <c r="AM59" s="394">
        <f t="shared" si="26"/>
        <v>2441.8958523299998</v>
      </c>
      <c r="AN59" s="335">
        <f t="shared" si="18"/>
        <v>19</v>
      </c>
      <c r="AO59" s="394">
        <f t="shared" si="27"/>
        <v>2051.73323927</v>
      </c>
      <c r="AP59" s="394">
        <f t="shared" si="27"/>
        <v>2441.8958523299998</v>
      </c>
      <c r="AQ59" s="398">
        <f t="shared" si="20"/>
        <v>19</v>
      </c>
      <c r="AR59" s="449"/>
      <c r="AS59" s="449"/>
      <c r="AT59" s="453"/>
    </row>
    <row r="60" spans="1:46" s="422" customFormat="1" ht="20.100000000000001" customHeight="1" x14ac:dyDescent="0.3">
      <c r="A60" s="417" t="s">
        <v>238</v>
      </c>
      <c r="B60" s="399">
        <v>17266.330000000002</v>
      </c>
      <c r="C60" s="397">
        <f>SUM(C48+C49+C50+C54)</f>
        <v>19030.607</v>
      </c>
      <c r="D60" s="335">
        <f>IF(B60=0, "    ---- ", IF(ABS(ROUND(100/B60*C60-100,1))&lt;999,ROUND(100/B60*C60-100,1),IF(ROUND(100/B60*C60-100,1)&gt;999,999,-999)))</f>
        <v>10.199999999999999</v>
      </c>
      <c r="E60" s="399">
        <v>78277.486999999994</v>
      </c>
      <c r="F60" s="397">
        <f>SUM(F48+F49+F50+F54)</f>
        <v>89715.002026679911</v>
      </c>
      <c r="G60" s="335">
        <f t="shared" si="14"/>
        <v>14.6</v>
      </c>
      <c r="H60" s="399">
        <v>3320</v>
      </c>
      <c r="I60" s="397">
        <f>SUM(I48+I49+I50+I54)</f>
        <v>3826.7869999999998</v>
      </c>
      <c r="J60" s="335">
        <f>IF(H60=0, "    ---- ", IF(ABS(ROUND(100/H60*I60-100,1))&lt;999,ROUND(100/H60*I60-100,1),IF(ROUND(100/H60*I60-100,1)&gt;999,999,-999)))</f>
        <v>15.3</v>
      </c>
      <c r="K60" s="399">
        <f>SUM(K48+K49+K50+K54)</f>
        <v>23905</v>
      </c>
      <c r="L60" s="397">
        <f>SUM(L48+L49+L50+L54)</f>
        <v>27221.3</v>
      </c>
      <c r="M60" s="335">
        <f>IF(K60=0, "    ---- ", IF(ABS(ROUND(100/K60*L60-100,1))&lt;999,ROUND(100/K60*L60-100,1),IF(ROUND(100/K60*L60-100,1)&gt;999,999,-999)))</f>
        <v>13.9</v>
      </c>
      <c r="N60" s="399"/>
      <c r="O60" s="397"/>
      <c r="P60" s="335"/>
      <c r="Q60" s="399">
        <v>2487.2698989400001</v>
      </c>
      <c r="R60" s="397">
        <f>SUM(R48+R49+R50+R54)</f>
        <v>2588.5983168499997</v>
      </c>
      <c r="S60" s="335">
        <f t="shared" si="28"/>
        <v>4.0999999999999996</v>
      </c>
      <c r="T60" s="585">
        <v>3075.1410000000001</v>
      </c>
      <c r="U60" s="397">
        <f>SUM(U48+U49+U50+U54)</f>
        <v>4242.2250000000004</v>
      </c>
      <c r="V60" s="335">
        <f>IF(T60=0, "    ---- ", IF(ABS(ROUND(100/T60*U60-100,1))&lt;999,ROUND(100/T60*U60-100,1),IF(ROUND(100/T60*U60-100,1)&gt;999,999,-999)))</f>
        <v>38</v>
      </c>
      <c r="W60" s="399">
        <v>60641.55</v>
      </c>
      <c r="X60" s="397">
        <f>SUM(X48+X49+X50+X54)</f>
        <v>68352.479999999996</v>
      </c>
      <c r="Y60" s="335">
        <f t="shared" si="21"/>
        <v>12.7</v>
      </c>
      <c r="Z60" s="399">
        <v>0</v>
      </c>
      <c r="AA60" s="397">
        <f>SUM(AA48+AA49+AA50+AA54)</f>
        <v>0</v>
      </c>
      <c r="AB60" s="335"/>
      <c r="AC60" s="399">
        <v>2164</v>
      </c>
      <c r="AD60" s="397">
        <f>SUM(AD48+AD49+AD50+AD54)</f>
        <v>2309.4846787400002</v>
      </c>
      <c r="AE60" s="335">
        <f>IF(AC60=0, "    ---- ", IF(ABS(ROUND(100/AC60*AD60-100,1))&lt;999,ROUND(100/AC60*AD60-100,1),IF(ROUND(100/AC60*AD60-100,1)&gt;999,999,-999)))</f>
        <v>6.7</v>
      </c>
      <c r="AF60" s="399">
        <f>SUM(AF48+AF49+AF50+AF54)</f>
        <v>28193.079999999998</v>
      </c>
      <c r="AG60" s="397">
        <f>SUM(AG48+AG49+AG50+AG54)</f>
        <v>32178.036999999997</v>
      </c>
      <c r="AH60" s="335">
        <f t="shared" si="16"/>
        <v>14.1</v>
      </c>
      <c r="AI60" s="585">
        <f>SUM(AI48+AI49+AI50+AI54)</f>
        <v>93748.1</v>
      </c>
      <c r="AJ60" s="397">
        <f>SUM(AJ48+AJ49+AJ50+AJ54)</f>
        <v>104184</v>
      </c>
      <c r="AK60" s="335">
        <f t="shared" si="22"/>
        <v>11.1</v>
      </c>
      <c r="AL60" s="394">
        <f t="shared" si="26"/>
        <v>310913.95789893996</v>
      </c>
      <c r="AM60" s="394">
        <f t="shared" si="26"/>
        <v>351339.03634352994</v>
      </c>
      <c r="AN60" s="335">
        <f t="shared" si="18"/>
        <v>13</v>
      </c>
      <c r="AO60" s="394">
        <f t="shared" si="27"/>
        <v>313077.95789893996</v>
      </c>
      <c r="AP60" s="394">
        <f t="shared" si="27"/>
        <v>353648.52102226991</v>
      </c>
      <c r="AQ60" s="398">
        <f t="shared" si="20"/>
        <v>13</v>
      </c>
      <c r="AR60" s="449"/>
      <c r="AS60" s="449"/>
      <c r="AT60" s="453"/>
    </row>
    <row r="61" spans="1:46" s="422" customFormat="1" ht="20.100000000000001" customHeight="1" x14ac:dyDescent="0.3">
      <c r="A61" s="414" t="s">
        <v>345</v>
      </c>
      <c r="B61" s="399"/>
      <c r="C61" s="397"/>
      <c r="D61" s="335"/>
      <c r="E61" s="399"/>
      <c r="F61" s="397"/>
      <c r="G61" s="335"/>
      <c r="H61" s="399"/>
      <c r="I61" s="397"/>
      <c r="J61" s="335"/>
      <c r="K61" s="399"/>
      <c r="L61" s="397"/>
      <c r="M61" s="335"/>
      <c r="N61" s="399"/>
      <c r="O61" s="397"/>
      <c r="P61" s="335"/>
      <c r="Q61" s="399"/>
      <c r="R61" s="397"/>
      <c r="S61" s="335"/>
      <c r="T61" s="585"/>
      <c r="U61" s="397"/>
      <c r="V61" s="335"/>
      <c r="W61" s="399"/>
      <c r="X61" s="397"/>
      <c r="Y61" s="335"/>
      <c r="Z61" s="399"/>
      <c r="AA61" s="397"/>
      <c r="AB61" s="335"/>
      <c r="AC61" s="399"/>
      <c r="AD61" s="397"/>
      <c r="AE61" s="335"/>
      <c r="AF61" s="399"/>
      <c r="AG61" s="397"/>
      <c r="AH61" s="335"/>
      <c r="AI61" s="585"/>
      <c r="AJ61" s="397"/>
      <c r="AK61" s="335"/>
      <c r="AL61" s="394">
        <f t="shared" si="26"/>
        <v>0</v>
      </c>
      <c r="AM61" s="394">
        <f t="shared" si="26"/>
        <v>0</v>
      </c>
      <c r="AN61" s="335" t="str">
        <f t="shared" si="18"/>
        <v xml:space="preserve">    ---- </v>
      </c>
      <c r="AO61" s="394">
        <f t="shared" si="27"/>
        <v>0</v>
      </c>
      <c r="AP61" s="394">
        <f t="shared" si="27"/>
        <v>0</v>
      </c>
      <c r="AQ61" s="398" t="str">
        <f t="shared" si="20"/>
        <v xml:space="preserve">    ---- </v>
      </c>
      <c r="AR61" s="449"/>
      <c r="AS61" s="449"/>
      <c r="AT61" s="453"/>
    </row>
    <row r="62" spans="1:46" s="422" customFormat="1" ht="20.100000000000001" customHeight="1" x14ac:dyDescent="0.3">
      <c r="A62" s="416" t="s">
        <v>239</v>
      </c>
      <c r="B62" s="399">
        <v>18451.848000000002</v>
      </c>
      <c r="C62" s="397">
        <f>SUM(C45+C46+C60+C61)</f>
        <v>20382.422999999999</v>
      </c>
      <c r="D62" s="335">
        <f>IF(B62=0, "    ---- ", IF(ABS(ROUND(100/B62*C62-100,1))&lt;999,ROUND(100/B62*C62-100,1),IF(ROUND(100/B62*C62-100,1)&gt;999,999,-999)))</f>
        <v>10.5</v>
      </c>
      <c r="E62" s="399">
        <v>286137.114</v>
      </c>
      <c r="F62" s="397">
        <f>SUM(F45+F46+F60+F61)</f>
        <v>296980.59939079994</v>
      </c>
      <c r="G62" s="335">
        <f t="shared" si="14"/>
        <v>3.8</v>
      </c>
      <c r="H62" s="399">
        <v>4369.7</v>
      </c>
      <c r="I62" s="397">
        <f>SUM(I45+I46+I60+I61)</f>
        <v>4994.1399999999994</v>
      </c>
      <c r="J62" s="335">
        <f>IF(H62=0, "    ---- ", IF(ABS(ROUND(100/H62*I62-100,1))&lt;999,ROUND(100/H62*I62-100,1),IF(ROUND(100/H62*I62-100,1)&gt;999,999,-999)))</f>
        <v>14.3</v>
      </c>
      <c r="K62" s="399">
        <f>SUM(K45+K46+K60+K61)</f>
        <v>30243</v>
      </c>
      <c r="L62" s="397">
        <f>SUM(L45+L46+L60+L61)</f>
        <v>34153.5</v>
      </c>
      <c r="M62" s="335">
        <f>IF(K62=0, "    ---- ", IF(ABS(ROUND(100/K62*L62-100,1))&lt;999,ROUND(100/K62*L62-100,1),IF(ROUND(100/K62*L62-100,1)&gt;999,999,-999)))</f>
        <v>12.9</v>
      </c>
      <c r="N62" s="399"/>
      <c r="O62" s="397"/>
      <c r="P62" s="335"/>
      <c r="Q62" s="399">
        <v>505478.75582769001</v>
      </c>
      <c r="R62" s="397">
        <f>SUM(R45+R46+R60+R61)</f>
        <v>544390.33966482</v>
      </c>
      <c r="S62" s="335">
        <f>IF(Q62=0, "    ---- ", IF(ABS(ROUND(100/Q62*R62-100,1))&lt;999,ROUND(100/Q62*R62-100,1),IF(ROUND(100/Q62*R62-100,1)&gt;999,999,-999)))</f>
        <v>7.7</v>
      </c>
      <c r="T62" s="585">
        <v>4793.8890000000001</v>
      </c>
      <c r="U62" s="397">
        <f>SUM(U45+U46+U60+U61)</f>
        <v>5989.6040000000003</v>
      </c>
      <c r="V62" s="335">
        <f>IF(T62=0, "    ---- ", IF(ABS(ROUND(100/T62*U62-100,1))&lt;999,ROUND(100/T62*U62-100,1),IF(ROUND(100/T62*U62-100,1)&gt;999,999,-999)))</f>
        <v>24.9</v>
      </c>
      <c r="W62" s="399">
        <v>110631.84559820991</v>
      </c>
      <c r="X62" s="397">
        <f>SUM(X45+X46+X60+X61)</f>
        <v>119957.3203542799</v>
      </c>
      <c r="Y62" s="335">
        <f t="shared" si="21"/>
        <v>8.4</v>
      </c>
      <c r="Z62" s="399">
        <v>83761</v>
      </c>
      <c r="AA62" s="397">
        <f>SUM(AA45+AA46+AA60+AA61)</f>
        <v>90015</v>
      </c>
      <c r="AB62" s="335">
        <f>IF(Z62=0, "    ---- ", IF(ABS(ROUND(100/Z62*AA62-100,1))&lt;999,ROUND(100/Z62*AA62-100,1),IF(ROUND(100/Z62*AA62-100,1)&gt;999,999,-999)))</f>
        <v>7.5</v>
      </c>
      <c r="AC62" s="399">
        <v>2164</v>
      </c>
      <c r="AD62" s="397">
        <f>SUM(AD45+AD46+AD60+AD61)</f>
        <v>2309.4846787400002</v>
      </c>
      <c r="AE62" s="335">
        <f>IF(AC62=0, "    ---- ", IF(ABS(ROUND(100/AC62*AD62-100,1))&lt;999,ROUND(100/AC62*AD62-100,1),IF(ROUND(100/AC62*AD62-100,1)&gt;999,999,-999)))</f>
        <v>6.7</v>
      </c>
      <c r="AF62" s="399">
        <f>SUM(AF45+AF46+AF60+AF61)</f>
        <v>51619.683000000005</v>
      </c>
      <c r="AG62" s="397">
        <f>SUM(AG45+AG46+AG60+AG61)</f>
        <v>57525.716</v>
      </c>
      <c r="AH62" s="335">
        <f t="shared" si="16"/>
        <v>11.4</v>
      </c>
      <c r="AI62" s="585">
        <f>SUM(AI45+AI46+AI60+AI61)</f>
        <v>281643.09999999998</v>
      </c>
      <c r="AJ62" s="397">
        <f>SUM(AJ45+AJ46+AJ60+AJ61)</f>
        <v>295385.40000000002</v>
      </c>
      <c r="AK62" s="335">
        <f t="shared" si="22"/>
        <v>4.9000000000000004</v>
      </c>
      <c r="AL62" s="394">
        <f t="shared" si="26"/>
        <v>1377129.9354258999</v>
      </c>
      <c r="AM62" s="394">
        <f t="shared" si="26"/>
        <v>1469774.0424099001</v>
      </c>
      <c r="AN62" s="335">
        <f t="shared" si="18"/>
        <v>6.7</v>
      </c>
      <c r="AO62" s="394">
        <f t="shared" si="27"/>
        <v>1379293.9354258999</v>
      </c>
      <c r="AP62" s="394">
        <f t="shared" si="27"/>
        <v>1472083.5270886398</v>
      </c>
      <c r="AQ62" s="398">
        <f t="shared" si="20"/>
        <v>6.7</v>
      </c>
      <c r="AR62" s="449"/>
      <c r="AS62" s="454"/>
      <c r="AT62" s="453"/>
    </row>
    <row r="63" spans="1:46" s="457" customFormat="1" ht="20.100000000000001" customHeight="1" x14ac:dyDescent="0.3">
      <c r="A63" s="414"/>
      <c r="B63" s="386"/>
      <c r="C63" s="387"/>
      <c r="D63" s="385"/>
      <c r="E63" s="386"/>
      <c r="F63" s="387"/>
      <c r="G63" s="385"/>
      <c r="H63" s="386"/>
      <c r="I63" s="387"/>
      <c r="J63" s="385"/>
      <c r="K63" s="386"/>
      <c r="L63" s="387"/>
      <c r="M63" s="400"/>
      <c r="N63" s="386"/>
      <c r="O63" s="387"/>
      <c r="P63" s="385"/>
      <c r="Q63" s="386"/>
      <c r="R63" s="387"/>
      <c r="S63" s="385"/>
      <c r="T63" s="588"/>
      <c r="U63" s="387"/>
      <c r="V63" s="385"/>
      <c r="W63" s="386"/>
      <c r="X63" s="387"/>
      <c r="Y63" s="385"/>
      <c r="Z63" s="386"/>
      <c r="AA63" s="387"/>
      <c r="AB63" s="385"/>
      <c r="AC63" s="386"/>
      <c r="AD63" s="387"/>
      <c r="AE63" s="385"/>
      <c r="AF63" s="386"/>
      <c r="AG63" s="387"/>
      <c r="AH63" s="385"/>
      <c r="AI63" s="588"/>
      <c r="AJ63" s="387"/>
      <c r="AK63" s="385"/>
      <c r="AL63" s="401"/>
      <c r="AM63" s="401"/>
      <c r="AN63" s="385"/>
      <c r="AO63" s="401"/>
      <c r="AP63" s="401"/>
      <c r="AQ63" s="402"/>
      <c r="AR63" s="455"/>
      <c r="AS63" s="455"/>
      <c r="AT63" s="456"/>
    </row>
    <row r="64" spans="1:46" s="457" customFormat="1" ht="20.100000000000001" customHeight="1" x14ac:dyDescent="0.3">
      <c r="A64" s="414" t="s">
        <v>240</v>
      </c>
      <c r="B64" s="386">
        <v>18929.472000000002</v>
      </c>
      <c r="C64" s="387">
        <f>SUM(C29+C62)</f>
        <v>20927.877</v>
      </c>
      <c r="D64" s="385">
        <f>IF(B64=0, "    ---- ", IF(ABS(ROUND(100/B64*C64-100,1))&lt;999,ROUND(100/B64*C64-100,1),IF(ROUND(100/B64*C64-100,1)&gt;999,999,-999)))</f>
        <v>10.6</v>
      </c>
      <c r="E64" s="386">
        <v>317836.87300000002</v>
      </c>
      <c r="F64" s="387">
        <f>SUM(F29+F62)</f>
        <v>329166.71961601992</v>
      </c>
      <c r="G64" s="385">
        <f t="shared" si="14"/>
        <v>3.6</v>
      </c>
      <c r="H64" s="386">
        <v>4905.7</v>
      </c>
      <c r="I64" s="387">
        <f>SUM(I29+I62)</f>
        <v>5604.3429999999989</v>
      </c>
      <c r="J64" s="385">
        <f>IF(H64=0, "    ---- ", IF(ABS(ROUND(100/H64*I64-100,1))&lt;999,ROUND(100/H64*I64-100,1),IF(ROUND(100/H64*I64-100,1)&gt;999,999,-999)))</f>
        <v>14.2</v>
      </c>
      <c r="K64" s="386">
        <f>SUM(K29+K62)</f>
        <v>31527</v>
      </c>
      <c r="L64" s="387">
        <f>SUM(L29+L62)</f>
        <v>35489.199999999997</v>
      </c>
      <c r="M64" s="400">
        <f>IF(K64=0, "    ---- ", IF(ABS(ROUND(100/K64*L64-100,1))&lt;999,ROUND(100/K64*L64-100,1),IF(ROUND(100/K64*L64-100,1)&gt;999,999,-999)))</f>
        <v>12.6</v>
      </c>
      <c r="N64" s="386">
        <v>145</v>
      </c>
      <c r="O64" s="387">
        <f>SUM(O29+O62)</f>
        <v>147.51286438</v>
      </c>
      <c r="P64" s="385">
        <f>IF(N64=0, "    ---- ", IF(ABS(ROUND(100/N64*O64-100,1))&lt;999,ROUND(100/N64*O64-100,1),IF(ROUND(100/N64*O64-100,1)&gt;999,999,-999)))</f>
        <v>1.7</v>
      </c>
      <c r="Q64" s="386">
        <v>552583.50935138995</v>
      </c>
      <c r="R64" s="387">
        <f>SUM(R29+R62)</f>
        <v>594584.44974705996</v>
      </c>
      <c r="S64" s="385">
        <f>IF(Q64=0, "    ---- ", IF(ABS(ROUND(100/Q64*R64-100,1))&lt;999,ROUND(100/Q64*R64-100,1),IF(ROUND(100/Q64*R64-100,1)&gt;999,999,-999)))</f>
        <v>7.6</v>
      </c>
      <c r="T64" s="588">
        <v>5344.2830000000004</v>
      </c>
      <c r="U64" s="387">
        <f>SUM(U29+U62)</f>
        <v>6510.3250000000007</v>
      </c>
      <c r="V64" s="385">
        <f>IF(T64=0, "    ---- ", IF(ABS(ROUND(100/T64*U64-100,1))&lt;999,ROUND(100/T64*U64-100,1),IF(ROUND(100/T64*U64-100,1)&gt;999,999,-999)))</f>
        <v>21.8</v>
      </c>
      <c r="W64" s="386">
        <v>121510.73559820991</v>
      </c>
      <c r="X64" s="387">
        <f>SUM(X29+X62)</f>
        <v>131027.8203542799</v>
      </c>
      <c r="Y64" s="385">
        <f t="shared" si="21"/>
        <v>7.8</v>
      </c>
      <c r="Z64" s="386">
        <v>93703</v>
      </c>
      <c r="AA64" s="387">
        <f>SUM(AA29+AA62)</f>
        <v>100589</v>
      </c>
      <c r="AB64" s="385">
        <f>IF(Z64=0, "    ---- ", IF(ABS(ROUND(100/Z64*AA64-100,1))&lt;999,ROUND(100/Z64*AA64-100,1),IF(ROUND(100/Z64*AA64-100,1)&gt;999,999,-999)))</f>
        <v>7.3</v>
      </c>
      <c r="AC64" s="386">
        <v>2218</v>
      </c>
      <c r="AD64" s="387">
        <f>SUM(AD29+AD62)</f>
        <v>2379.0524573000002</v>
      </c>
      <c r="AE64" s="385">
        <f>IF(AC64=0, "    ---- ", IF(ABS(ROUND(100/AC64*AD64-100,1))&lt;999,ROUND(100/AC64*AD64-100,1),IF(ROUND(100/AC64*AD64-100,1)&gt;999,999,-999)))</f>
        <v>7.3</v>
      </c>
      <c r="AF64" s="386">
        <f>SUM(AF29+AF62)</f>
        <v>57959.798000000003</v>
      </c>
      <c r="AG64" s="387">
        <f>SUM(AG29+AG62)</f>
        <v>65261.601000000002</v>
      </c>
      <c r="AH64" s="385">
        <f t="shared" si="16"/>
        <v>12.6</v>
      </c>
      <c r="AI64" s="588">
        <f>SUM(AI29+AI62)</f>
        <v>317514.3</v>
      </c>
      <c r="AJ64" s="387">
        <f>SUM(AJ29+AJ62)</f>
        <v>333560.40000000002</v>
      </c>
      <c r="AK64" s="385">
        <f t="shared" si="22"/>
        <v>5.0999999999999996</v>
      </c>
      <c r="AL64" s="403">
        <f>B64+E64+H64+K64+Q64+T64+W64+Z64+AF64+AI64</f>
        <v>1521814.6709495999</v>
      </c>
      <c r="AM64" s="403">
        <f>C64+F64+I64+L64+R64+U64+X64+AA64+AG64+AJ64</f>
        <v>1622721.7357173599</v>
      </c>
      <c r="AN64" s="385">
        <f t="shared" si="18"/>
        <v>6.6</v>
      </c>
      <c r="AO64" s="403">
        <f>B64+E64+H64+K64+N64+Q64+T64+W64+Z64+AC64++AF64+AI64</f>
        <v>1524177.6709495999</v>
      </c>
      <c r="AP64" s="403">
        <f>C64+F64+I64+L64+O64+R64+U64+X64+AA64+AD64++AG64+AJ64</f>
        <v>1625248.3010390396</v>
      </c>
      <c r="AQ64" s="402">
        <f t="shared" si="20"/>
        <v>6.6</v>
      </c>
      <c r="AR64" s="455"/>
      <c r="AS64" s="455"/>
      <c r="AT64" s="453"/>
    </row>
    <row r="65" spans="1:46" s="422" customFormat="1" ht="20.100000000000001" customHeight="1" x14ac:dyDescent="0.3">
      <c r="A65" s="418"/>
      <c r="B65" s="399"/>
      <c r="C65" s="397"/>
      <c r="D65" s="335"/>
      <c r="E65" s="399"/>
      <c r="F65" s="397"/>
      <c r="G65" s="335"/>
      <c r="H65" s="399"/>
      <c r="I65" s="397"/>
      <c r="J65" s="335"/>
      <c r="K65" s="399"/>
      <c r="L65" s="397"/>
      <c r="M65" s="381"/>
      <c r="N65" s="399"/>
      <c r="O65" s="397"/>
      <c r="P65" s="335"/>
      <c r="Q65" s="399"/>
      <c r="R65" s="397"/>
      <c r="S65" s="335"/>
      <c r="T65" s="585"/>
      <c r="U65" s="397"/>
      <c r="V65" s="335"/>
      <c r="W65" s="399"/>
      <c r="X65" s="397"/>
      <c r="Y65" s="335"/>
      <c r="Z65" s="399"/>
      <c r="AA65" s="397"/>
      <c r="AB65" s="335"/>
      <c r="AC65" s="399"/>
      <c r="AD65" s="397"/>
      <c r="AE65" s="335"/>
      <c r="AF65" s="399"/>
      <c r="AG65" s="397"/>
      <c r="AH65" s="335"/>
      <c r="AI65" s="585"/>
      <c r="AJ65" s="397"/>
      <c r="AK65" s="335"/>
      <c r="AL65" s="383"/>
      <c r="AM65" s="383"/>
      <c r="AN65" s="335"/>
      <c r="AO65" s="383"/>
      <c r="AP65" s="383"/>
      <c r="AQ65" s="398"/>
      <c r="AR65" s="449"/>
      <c r="AS65" s="449"/>
      <c r="AT65" s="453"/>
    </row>
    <row r="66" spans="1:46" s="422" customFormat="1" ht="20.100000000000001" customHeight="1" x14ac:dyDescent="0.3">
      <c r="A66" s="414" t="s">
        <v>241</v>
      </c>
      <c r="B66" s="399"/>
      <c r="C66" s="397"/>
      <c r="D66" s="335"/>
      <c r="E66" s="399"/>
      <c r="F66" s="397"/>
      <c r="G66" s="335"/>
      <c r="H66" s="399"/>
      <c r="I66" s="397"/>
      <c r="J66" s="335"/>
      <c r="K66" s="399"/>
      <c r="L66" s="397"/>
      <c r="M66" s="381"/>
      <c r="N66" s="399"/>
      <c r="O66" s="397"/>
      <c r="P66" s="335"/>
      <c r="Q66" s="399"/>
      <c r="R66" s="397"/>
      <c r="S66" s="335"/>
      <c r="T66" s="585"/>
      <c r="U66" s="397"/>
      <c r="V66" s="335"/>
      <c r="W66" s="399"/>
      <c r="X66" s="397"/>
      <c r="Y66" s="335"/>
      <c r="Z66" s="399"/>
      <c r="AA66" s="397"/>
      <c r="AB66" s="335"/>
      <c r="AC66" s="399"/>
      <c r="AD66" s="397"/>
      <c r="AE66" s="335"/>
      <c r="AF66" s="399"/>
      <c r="AG66" s="397"/>
      <c r="AH66" s="335"/>
      <c r="AI66" s="585"/>
      <c r="AJ66" s="397"/>
      <c r="AK66" s="335"/>
      <c r="AL66" s="383"/>
      <c r="AM66" s="383"/>
      <c r="AN66" s="335"/>
      <c r="AO66" s="383"/>
      <c r="AP66" s="383"/>
      <c r="AQ66" s="398"/>
      <c r="AR66" s="449"/>
      <c r="AS66" s="449"/>
      <c r="AT66" s="453"/>
    </row>
    <row r="67" spans="1:46" s="422" customFormat="1" ht="20.100000000000001" customHeight="1" x14ac:dyDescent="0.3">
      <c r="A67" s="414"/>
      <c r="B67" s="399"/>
      <c r="C67" s="397"/>
      <c r="D67" s="335"/>
      <c r="E67" s="399"/>
      <c r="F67" s="397"/>
      <c r="G67" s="335"/>
      <c r="H67" s="399"/>
      <c r="I67" s="397"/>
      <c r="J67" s="335"/>
      <c r="K67" s="399"/>
      <c r="L67" s="397"/>
      <c r="M67" s="381"/>
      <c r="N67" s="399"/>
      <c r="O67" s="397"/>
      <c r="P67" s="335"/>
      <c r="Q67" s="399"/>
      <c r="R67" s="397"/>
      <c r="S67" s="335"/>
      <c r="T67" s="585"/>
      <c r="U67" s="397"/>
      <c r="V67" s="335"/>
      <c r="W67" s="399"/>
      <c r="X67" s="397"/>
      <c r="Y67" s="335"/>
      <c r="Z67" s="399"/>
      <c r="AA67" s="397"/>
      <c r="AB67" s="335"/>
      <c r="AC67" s="399"/>
      <c r="AD67" s="397"/>
      <c r="AE67" s="335"/>
      <c r="AF67" s="399"/>
      <c r="AG67" s="397"/>
      <c r="AH67" s="335"/>
      <c r="AI67" s="585"/>
      <c r="AJ67" s="397"/>
      <c r="AK67" s="335"/>
      <c r="AL67" s="383"/>
      <c r="AM67" s="383"/>
      <c r="AN67" s="335"/>
      <c r="AO67" s="383"/>
      <c r="AP67" s="383"/>
      <c r="AQ67" s="398"/>
      <c r="AR67" s="449"/>
      <c r="AS67" s="449"/>
      <c r="AT67" s="453"/>
    </row>
    <row r="68" spans="1:46" s="422" customFormat="1" ht="20.100000000000001" customHeight="1" x14ac:dyDescent="0.3">
      <c r="A68" s="416" t="s">
        <v>242</v>
      </c>
      <c r="B68" s="399">
        <v>141.16</v>
      </c>
      <c r="C68" s="397">
        <v>141.16</v>
      </c>
      <c r="D68" s="335">
        <f>IF(B68=0, "    ---- ", IF(ABS(ROUND(100/B68*C68-100,1))&lt;999,ROUND(100/B68*C68-100,1),IF(ROUND(100/B68*C68-100,1)&gt;999,999,-999)))</f>
        <v>0</v>
      </c>
      <c r="E68" s="399">
        <v>7765.924</v>
      </c>
      <c r="F68" s="397">
        <v>7765.92409967</v>
      </c>
      <c r="G68" s="335">
        <f t="shared" si="14"/>
        <v>0</v>
      </c>
      <c r="H68" s="399">
        <v>175</v>
      </c>
      <c r="I68" s="397">
        <v>210</v>
      </c>
      <c r="J68" s="335">
        <f>IF(H68=0, "    ---- ", IF(ABS(ROUND(100/H68*I68-100,1))&lt;999,ROUND(100/H68*I68-100,1),IF(ROUND(100/H68*I68-100,1)&gt;999,999,-999)))</f>
        <v>20</v>
      </c>
      <c r="K68" s="399">
        <v>121</v>
      </c>
      <c r="L68" s="397">
        <v>121.1</v>
      </c>
      <c r="M68" s="381">
        <f>IF(K68=0, "    ---- ", IF(ABS(ROUND(100/K68*L68-100,1))&lt;999,ROUND(100/K68*L68-100,1),IF(ROUND(100/K68*L68-100,1)&gt;999,999,-999)))</f>
        <v>0.1</v>
      </c>
      <c r="N68" s="399">
        <v>5</v>
      </c>
      <c r="O68" s="397">
        <v>5</v>
      </c>
      <c r="P68" s="335">
        <f>IF(N68=0, "    ---- ", IF(ABS(ROUND(100/N68*O68-100,1))&lt;999,ROUND(100/N68*O68-100,1),IF(ROUND(100/N68*O68-100,1)&gt;999,999,-999)))</f>
        <v>0</v>
      </c>
      <c r="Q68" s="399">
        <v>13112.405465</v>
      </c>
      <c r="R68" s="397">
        <v>14552.159906999999</v>
      </c>
      <c r="S68" s="335">
        <f t="shared" ref="S68:S79" si="29">IF(Q68=0, "    ---- ", IF(ABS(ROUND(100/Q68*R68-100,1))&lt;999,ROUND(100/Q68*R68-100,1),IF(ROUND(100/Q68*R68-100,1)&gt;999,999,-999)))</f>
        <v>11</v>
      </c>
      <c r="T68" s="585">
        <v>741.25</v>
      </c>
      <c r="U68" s="397">
        <v>741.25</v>
      </c>
      <c r="V68" s="335">
        <f>IF(T68=0, "    ---- ", IF(ABS(ROUND(100/T68*U68-100,1))&lt;999,ROUND(100/T68*U68-100,1),IF(ROUND(100/T68*U68-100,1)&gt;999,999,-999)))</f>
        <v>0</v>
      </c>
      <c r="W68" s="399">
        <v>1126.76</v>
      </c>
      <c r="X68" s="397">
        <v>1126.76</v>
      </c>
      <c r="Y68" s="335">
        <f t="shared" si="21"/>
        <v>0</v>
      </c>
      <c r="Z68" s="399">
        <v>1430</v>
      </c>
      <c r="AA68" s="397">
        <v>1430</v>
      </c>
      <c r="AB68" s="335">
        <f>IF(Z68=0, "    ---- ", IF(ABS(ROUND(100/Z68*AA68-100,1))&lt;999,ROUND(100/Z68*AA68-100,1),IF(ROUND(100/Z68*AA68-100,1)&gt;999,999,-999)))</f>
        <v>0</v>
      </c>
      <c r="AC68" s="399">
        <v>49</v>
      </c>
      <c r="AD68" s="397">
        <v>48.519831859999996</v>
      </c>
      <c r="AE68" s="335">
        <f>IF(AC68=0, "    ---- ", IF(ABS(ROUND(100/AC68*AD68-100,1))&lt;999,ROUND(100/AC68*AD68-100,1),IF(ROUND(100/AC68*AD68-100,1)&gt;999,999,-999)))</f>
        <v>-1</v>
      </c>
      <c r="AF68" s="399">
        <v>2702.741</v>
      </c>
      <c r="AG68" s="397">
        <v>3352.7420000000002</v>
      </c>
      <c r="AH68" s="335">
        <f t="shared" si="16"/>
        <v>24</v>
      </c>
      <c r="AI68" s="585">
        <v>13251</v>
      </c>
      <c r="AJ68" s="397">
        <v>13339</v>
      </c>
      <c r="AK68" s="335">
        <f t="shared" si="22"/>
        <v>0.7</v>
      </c>
      <c r="AL68" s="383">
        <f>B68+E68+H68+K68+Q68+T68+W68+Z68+AF68+AI68</f>
        <v>40567.240464999995</v>
      </c>
      <c r="AM68" s="383">
        <f>C68+F68+I68+L68+R68+U68+X68+AA68+AG68+AJ68</f>
        <v>42780.096006669999</v>
      </c>
      <c r="AN68" s="335">
        <f t="shared" si="18"/>
        <v>5.5</v>
      </c>
      <c r="AO68" s="383">
        <f>B68+E68+H68+K68+N68+Q68+T68+W68+Z68+AC68+AF68+AI68</f>
        <v>40621.240464999995</v>
      </c>
      <c r="AP68" s="383">
        <f>C68+F68+I68+L68+O68+R68+U68+X68+AA68+AD68+AG68+AJ68</f>
        <v>42833.61583853</v>
      </c>
      <c r="AQ68" s="398">
        <f t="shared" si="20"/>
        <v>5.4</v>
      </c>
      <c r="AR68" s="449"/>
      <c r="AS68" s="449"/>
      <c r="AT68" s="453"/>
    </row>
    <row r="69" spans="1:46" s="422" customFormat="1" ht="20.100000000000001" customHeight="1" x14ac:dyDescent="0.3">
      <c r="A69" s="416" t="s">
        <v>243</v>
      </c>
      <c r="B69" s="399">
        <v>327.803</v>
      </c>
      <c r="C69" s="397">
        <v>400.065</v>
      </c>
      <c r="D69" s="335">
        <f>IF(B69=0, "    ---- ", IF(ABS(ROUND(100/B69*C69-100,1))&lt;999,ROUND(100/B69*C69-100,1),IF(ROUND(100/B69*C69-100,1)&gt;999,999,-999)))</f>
        <v>22</v>
      </c>
      <c r="E69" s="399">
        <v>15913.897000000001</v>
      </c>
      <c r="F69" s="397">
        <v>14711.8822587</v>
      </c>
      <c r="G69" s="335">
        <f t="shared" si="14"/>
        <v>-7.6</v>
      </c>
      <c r="H69" s="399">
        <v>173.8</v>
      </c>
      <c r="I69" s="397">
        <v>213.35300000000001</v>
      </c>
      <c r="J69" s="335">
        <f>IF(H69=0, "    ---- ", IF(ABS(ROUND(100/H69*I69-100,1))&lt;999,ROUND(100/H69*I69-100,1),IF(ROUND(100/H69*I69-100,1)&gt;999,999,-999)))</f>
        <v>22.8</v>
      </c>
      <c r="K69" s="399">
        <v>661</v>
      </c>
      <c r="L69" s="397">
        <v>702.8</v>
      </c>
      <c r="M69" s="381">
        <f>IF(K69=0, "    ---- ", IF(ABS(ROUND(100/K69*L69-100,1))&lt;999,ROUND(100/K69*L69-100,1),IF(ROUND(100/K69*L69-100,1)&gt;999,999,-999)))</f>
        <v>6.3</v>
      </c>
      <c r="N69" s="399">
        <v>78</v>
      </c>
      <c r="O69" s="397">
        <v>88.411584489999996</v>
      </c>
      <c r="P69" s="335">
        <f>IF(N69=0, "    ---- ", IF(ABS(ROUND(100/N69*O69-100,1))&lt;999,ROUND(100/N69*O69-100,1),IF(ROUND(100/N69*O69-100,1)&gt;999,999,-999)))</f>
        <v>13.3</v>
      </c>
      <c r="Q69" s="399">
        <v>18423.491367860002</v>
      </c>
      <c r="R69" s="397">
        <v>20326.02207608</v>
      </c>
      <c r="S69" s="335">
        <f t="shared" si="29"/>
        <v>10.3</v>
      </c>
      <c r="T69" s="585">
        <v>-234.67</v>
      </c>
      <c r="U69" s="397">
        <v>-249.77199999999999</v>
      </c>
      <c r="V69" s="335">
        <f>IF(T69=0, "    ---- ", IF(ABS(ROUND(100/T69*U69-100,1))&lt;999,ROUND(100/T69*U69-100,1),IF(ROUND(100/T69*U69-100,1)&gt;999,999,-999)))</f>
        <v>6.4</v>
      </c>
      <c r="W69" s="399">
        <v>6180.7</v>
      </c>
      <c r="X69" s="397">
        <v>6523.66</v>
      </c>
      <c r="Y69" s="335">
        <f t="shared" si="21"/>
        <v>5.5</v>
      </c>
      <c r="Z69" s="399">
        <v>6758</v>
      </c>
      <c r="AA69" s="397">
        <v>7548</v>
      </c>
      <c r="AB69" s="335">
        <f>IF(Z69=0, "    ---- ", IF(ABS(ROUND(100/Z69*AA69-100,1))&lt;999,ROUND(100/Z69*AA69-100,1),IF(ROUND(100/Z69*AA69-100,1)&gt;999,999,-999)))</f>
        <v>11.7</v>
      </c>
      <c r="AC69" s="399">
        <v>-1</v>
      </c>
      <c r="AD69" s="397">
        <v>10.2154988800001</v>
      </c>
      <c r="AE69" s="335">
        <f>IF(AC69=0, "    ---- ", IF(ABS(ROUND(100/AC69*AD69-100,1))&lt;999,ROUND(100/AC69*AD69-100,1),IF(ROUND(100/AC69*AD69-100,1)&gt;999,999,-999)))</f>
        <v>-999</v>
      </c>
      <c r="AF69" s="399">
        <v>1118.4970000000001</v>
      </c>
      <c r="AG69" s="397">
        <v>1666.1030000000001</v>
      </c>
      <c r="AH69" s="335">
        <f t="shared" si="16"/>
        <v>49</v>
      </c>
      <c r="AI69" s="585">
        <v>13274.4</v>
      </c>
      <c r="AJ69" s="397">
        <v>13341</v>
      </c>
      <c r="AK69" s="335">
        <f t="shared" si="22"/>
        <v>0.5</v>
      </c>
      <c r="AL69" s="383">
        <f t="shared" ref="AL69:AM71" si="30">B69+E69+H69+K69+Q69+T69+W69+Z69+AF69+AI69</f>
        <v>62596.918367860002</v>
      </c>
      <c r="AM69" s="383">
        <f t="shared" si="30"/>
        <v>65183.113334780006</v>
      </c>
      <c r="AN69" s="335">
        <f t="shared" si="18"/>
        <v>4.0999999999999996</v>
      </c>
      <c r="AO69" s="383">
        <f t="shared" ref="AO69:AP71" si="31">B69+E69+H69+K69+N69+Q69+T69+W69+Z69+AC69+AF69+AI69</f>
        <v>62673.918367860002</v>
      </c>
      <c r="AP69" s="383">
        <f t="shared" si="31"/>
        <v>65281.740418150002</v>
      </c>
      <c r="AQ69" s="398">
        <f t="shared" si="20"/>
        <v>4.2</v>
      </c>
      <c r="AR69" s="449"/>
      <c r="AS69" s="449"/>
      <c r="AT69" s="453"/>
    </row>
    <row r="70" spans="1:46" s="422" customFormat="1" ht="20.100000000000001" customHeight="1" x14ac:dyDescent="0.3">
      <c r="A70" s="416" t="s">
        <v>244</v>
      </c>
      <c r="B70" s="399">
        <v>3.4529999999999998</v>
      </c>
      <c r="C70" s="397">
        <v>3.4529999999999998</v>
      </c>
      <c r="D70" s="335"/>
      <c r="E70" s="399">
        <v>516.08000000000004</v>
      </c>
      <c r="F70" s="397">
        <v>600.71206301999996</v>
      </c>
      <c r="G70" s="335">
        <f>IF(E70=0, "    ---- ", IF(ABS(ROUND(100/E70*F70-100,1))&lt;999,ROUND(100/E70*F70-100,1),IF(ROUND(100/E70*F70-100,1)&gt;999,999,-999)))</f>
        <v>16.399999999999999</v>
      </c>
      <c r="H70" s="399">
        <v>59.2</v>
      </c>
      <c r="I70" s="397">
        <v>65.844999999999999</v>
      </c>
      <c r="J70" s="335"/>
      <c r="K70" s="399"/>
      <c r="L70" s="397">
        <v>15.3</v>
      </c>
      <c r="M70" s="335" t="str">
        <f>IF(K70=0, "    ---- ", IF(ABS(ROUND(100/K70*L70-100,1))&lt;999,ROUND(100/K70*L70-100,1),IF(ROUND(100/K70*L70-100,1)&gt;999,999,-999)))</f>
        <v xml:space="preserve">    ---- </v>
      </c>
      <c r="N70" s="399"/>
      <c r="O70" s="397"/>
      <c r="P70" s="335"/>
      <c r="Q70" s="399">
        <v>4154.2880240000004</v>
      </c>
      <c r="R70" s="397">
        <v>5157.0794610000003</v>
      </c>
      <c r="S70" s="335">
        <f t="shared" si="29"/>
        <v>24.1</v>
      </c>
      <c r="T70" s="585">
        <v>1.7210000000000001</v>
      </c>
      <c r="U70" s="397">
        <v>3.379</v>
      </c>
      <c r="V70" s="335">
        <f>IF(T70=0, "    ---- ", IF(ABS(ROUND(100/T70*U70-100,1))&lt;999,ROUND(100/T70*U70-100,1),IF(ROUND(100/T70*U70-100,1)&gt;999,999,-999)))</f>
        <v>96.3</v>
      </c>
      <c r="W70" s="399">
        <v>100.57</v>
      </c>
      <c r="X70" s="397">
        <v>65.48</v>
      </c>
      <c r="Y70" s="335">
        <f t="shared" si="21"/>
        <v>-34.9</v>
      </c>
      <c r="Z70" s="399"/>
      <c r="AA70" s="397"/>
      <c r="AB70" s="335" t="str">
        <f>IF(Z70=0, "    ---- ", IF(ABS(ROUND(100/Z70*AA70-100,1))&lt;999,ROUND(100/Z70*AA70-100,1),IF(ROUND(100/Z70*AA70-100,1)&gt;999,999,-999)))</f>
        <v xml:space="preserve">    ---- </v>
      </c>
      <c r="AC70" s="399"/>
      <c r="AD70" s="397"/>
      <c r="AE70" s="335"/>
      <c r="AF70" s="399">
        <v>61.81</v>
      </c>
      <c r="AG70" s="397">
        <v>102.018</v>
      </c>
      <c r="AH70" s="335">
        <f>IF(AF70=0, "    ---- ", IF(ABS(ROUND(100/AF70*AG70-100,1))&lt;999,ROUND(100/AF70*AG70-100,1),IF(ROUND(100/AF70*AG70-100,1)&gt;999,999,-999)))</f>
        <v>65.099999999999994</v>
      </c>
      <c r="AI70" s="585">
        <v>98.4</v>
      </c>
      <c r="AJ70" s="397">
        <v>361</v>
      </c>
      <c r="AK70" s="335">
        <f t="shared" si="22"/>
        <v>266.89999999999998</v>
      </c>
      <c r="AL70" s="383">
        <f t="shared" si="30"/>
        <v>4995.5220239999999</v>
      </c>
      <c r="AM70" s="383">
        <f t="shared" si="30"/>
        <v>6374.2665240199995</v>
      </c>
      <c r="AN70" s="335">
        <f t="shared" si="18"/>
        <v>27.6</v>
      </c>
      <c r="AO70" s="383">
        <f t="shared" si="31"/>
        <v>4995.5220239999999</v>
      </c>
      <c r="AP70" s="383">
        <f t="shared" si="31"/>
        <v>6374.2665240199995</v>
      </c>
      <c r="AQ70" s="398">
        <f t="shared" si="20"/>
        <v>27.6</v>
      </c>
      <c r="AR70" s="449"/>
      <c r="AS70" s="449"/>
      <c r="AT70" s="453"/>
    </row>
    <row r="71" spans="1:46" s="422" customFormat="1" ht="20.100000000000001" customHeight="1" x14ac:dyDescent="0.3">
      <c r="A71" s="416" t="s">
        <v>245</v>
      </c>
      <c r="B71" s="399"/>
      <c r="C71" s="397"/>
      <c r="D71" s="335"/>
      <c r="E71" s="399">
        <v>5500</v>
      </c>
      <c r="F71" s="397">
        <v>7000</v>
      </c>
      <c r="G71" s="335">
        <f t="shared" si="14"/>
        <v>27.3</v>
      </c>
      <c r="H71" s="399"/>
      <c r="I71" s="397"/>
      <c r="J71" s="335"/>
      <c r="K71" s="399">
        <v>300</v>
      </c>
      <c r="L71" s="397">
        <v>299.8</v>
      </c>
      <c r="M71" s="381"/>
      <c r="N71" s="399"/>
      <c r="O71" s="397"/>
      <c r="P71" s="335"/>
      <c r="Q71" s="399">
        <v>7197.0615599299999</v>
      </c>
      <c r="R71" s="397">
        <v>7483.4699596199998</v>
      </c>
      <c r="S71" s="335">
        <f t="shared" si="29"/>
        <v>4</v>
      </c>
      <c r="T71" s="585"/>
      <c r="U71" s="397"/>
      <c r="V71" s="335"/>
      <c r="W71" s="399">
        <v>2830</v>
      </c>
      <c r="X71" s="397">
        <v>2830</v>
      </c>
      <c r="Y71" s="335">
        <f t="shared" si="21"/>
        <v>0</v>
      </c>
      <c r="Z71" s="399">
        <v>1240</v>
      </c>
      <c r="AA71" s="397">
        <v>1240</v>
      </c>
      <c r="AB71" s="335">
        <f>IF(Z71=0, "    ---- ", IF(ABS(ROUND(100/Z71*AA71-100,1))&lt;999,ROUND(100/Z71*AA71-100,1),IF(ROUND(100/Z71*AA71-100,1)&gt;999,999,-999)))</f>
        <v>0</v>
      </c>
      <c r="AC71" s="399"/>
      <c r="AD71" s="397"/>
      <c r="AE71" s="335"/>
      <c r="AF71" s="399">
        <v>1000</v>
      </c>
      <c r="AG71" s="397">
        <v>1000</v>
      </c>
      <c r="AH71" s="335">
        <f t="shared" si="16"/>
        <v>0</v>
      </c>
      <c r="AI71" s="585">
        <v>7546.2</v>
      </c>
      <c r="AJ71" s="397">
        <v>7660</v>
      </c>
      <c r="AK71" s="335">
        <f t="shared" si="22"/>
        <v>1.5</v>
      </c>
      <c r="AL71" s="383">
        <f t="shared" si="30"/>
        <v>25613.261559930001</v>
      </c>
      <c r="AM71" s="383">
        <f t="shared" si="30"/>
        <v>27513.26995962</v>
      </c>
      <c r="AN71" s="335">
        <f t="shared" si="18"/>
        <v>7.4</v>
      </c>
      <c r="AO71" s="383">
        <f t="shared" si="31"/>
        <v>25613.261559930001</v>
      </c>
      <c r="AP71" s="383">
        <f t="shared" si="31"/>
        <v>27513.26995962</v>
      </c>
      <c r="AQ71" s="398">
        <f t="shared" si="20"/>
        <v>7.4</v>
      </c>
      <c r="AR71" s="449"/>
      <c r="AT71" s="453"/>
    </row>
    <row r="72" spans="1:46" s="422" customFormat="1" ht="20.100000000000001" customHeight="1" x14ac:dyDescent="0.3">
      <c r="A72" s="416" t="s">
        <v>246</v>
      </c>
      <c r="B72" s="399"/>
      <c r="C72" s="397"/>
      <c r="D72" s="335"/>
      <c r="E72" s="399"/>
      <c r="F72" s="397"/>
      <c r="G72" s="335"/>
      <c r="H72" s="399"/>
      <c r="I72" s="397"/>
      <c r="J72" s="335"/>
      <c r="K72" s="399"/>
      <c r="L72" s="397"/>
      <c r="M72" s="381"/>
      <c r="N72" s="399"/>
      <c r="O72" s="397"/>
      <c r="P72" s="335"/>
      <c r="Q72" s="399"/>
      <c r="R72" s="397">
        <v>0</v>
      </c>
      <c r="S72" s="335"/>
      <c r="T72" s="585"/>
      <c r="U72" s="397"/>
      <c r="V72" s="335"/>
      <c r="W72" s="399"/>
      <c r="X72" s="397"/>
      <c r="Y72" s="335"/>
      <c r="Z72" s="399"/>
      <c r="AA72" s="397"/>
      <c r="AB72" s="335"/>
      <c r="AC72" s="399"/>
      <c r="AD72" s="397"/>
      <c r="AE72" s="335"/>
      <c r="AF72" s="399"/>
      <c r="AG72" s="397"/>
      <c r="AH72" s="335"/>
      <c r="AI72" s="585"/>
      <c r="AJ72" s="397"/>
      <c r="AK72" s="335"/>
      <c r="AL72" s="383"/>
      <c r="AM72" s="383"/>
      <c r="AN72" s="335"/>
      <c r="AO72" s="383"/>
      <c r="AP72" s="383"/>
      <c r="AQ72" s="398"/>
      <c r="AR72" s="449"/>
      <c r="AS72" s="449"/>
      <c r="AT72" s="453"/>
    </row>
    <row r="73" spans="1:46" s="422" customFormat="1" ht="20.100000000000001" customHeight="1" x14ac:dyDescent="0.3">
      <c r="A73" s="416" t="s">
        <v>403</v>
      </c>
      <c r="B73" s="399">
        <v>939.59</v>
      </c>
      <c r="C73" s="397">
        <v>1064.48</v>
      </c>
      <c r="D73" s="335">
        <f>IF(B73=0, "    ---- ", IF(ABS(ROUND(100/B73*C73-100,1))&lt;999,ROUND(100/B73*C73-100,1),IF(ROUND(100/B73*C73-100,1)&gt;999,999,-999)))</f>
        <v>13.3</v>
      </c>
      <c r="E73" s="399">
        <v>195651.47899999999</v>
      </c>
      <c r="F73" s="397">
        <v>194328.49280882999</v>
      </c>
      <c r="G73" s="335">
        <f t="shared" si="14"/>
        <v>-0.7</v>
      </c>
      <c r="H73" s="399">
        <v>1126.9000000000001</v>
      </c>
      <c r="I73" s="397">
        <v>1269.4380000000001</v>
      </c>
      <c r="J73" s="335">
        <f>IF(H73=0, "    ---- ", IF(ABS(ROUND(100/H73*I73-100,1))&lt;999,ROUND(100/H73*I73-100,1),IF(ROUND(100/H73*I73-100,1)&gt;999,999,-999)))</f>
        <v>12.6</v>
      </c>
      <c r="K73" s="399">
        <v>6077</v>
      </c>
      <c r="L73" s="397">
        <v>6648</v>
      </c>
      <c r="M73" s="381">
        <f>IF(K73=0, "    ---- ", IF(ABS(ROUND(100/K73*L73-100,1))&lt;999,ROUND(100/K73*L73-100,1),IF(ROUND(100/K73*L73-100,1)&gt;999,999,-999)))</f>
        <v>9.4</v>
      </c>
      <c r="N73" s="399">
        <v>51</v>
      </c>
      <c r="O73" s="397">
        <v>50.66199245</v>
      </c>
      <c r="P73" s="335">
        <f>IF(N73=0, "    ---- ", IF(ABS(ROUND(100/N73*O73-100,1))&lt;999,ROUND(100/N73*O73-100,1),IF(ROUND(100/N73*O73-100,1)&gt;999,999,-999)))</f>
        <v>-0.7</v>
      </c>
      <c r="Q73" s="399">
        <v>420188.14306967997</v>
      </c>
      <c r="R73" s="397">
        <v>446907.03472390003</v>
      </c>
      <c r="S73" s="335">
        <f t="shared" si="29"/>
        <v>6.4</v>
      </c>
      <c r="T73" s="585">
        <v>1534.0989999999999</v>
      </c>
      <c r="U73" s="397">
        <v>1591.943</v>
      </c>
      <c r="V73" s="335">
        <f>IF(T73=0, "    ---- ", IF(ABS(ROUND(100/T73*U73-100,1))&lt;999,ROUND(100/T73*U73-100,1),IF(ROUND(100/T73*U73-100,1)&gt;999,999,-999)))</f>
        <v>3.8</v>
      </c>
      <c r="W73" s="399">
        <v>45908.27</v>
      </c>
      <c r="X73" s="397">
        <v>46619.962000000007</v>
      </c>
      <c r="Y73" s="335">
        <f t="shared" si="21"/>
        <v>1.6</v>
      </c>
      <c r="Z73" s="399">
        <v>61311</v>
      </c>
      <c r="AA73" s="397">
        <v>64648</v>
      </c>
      <c r="AB73" s="335">
        <f>IF(Z73=0, "    ---- ", IF(ABS(ROUND(100/Z73*AA73-100,1))&lt;999,ROUND(100/Z73*AA73-100,1),IF(ROUND(100/Z73*AA73-100,1)&gt;999,999,-999)))</f>
        <v>5.4</v>
      </c>
      <c r="AC73" s="399"/>
      <c r="AD73" s="397"/>
      <c r="AE73" s="335"/>
      <c r="AF73" s="399">
        <v>19815.662</v>
      </c>
      <c r="AG73" s="397">
        <v>21185.871999999999</v>
      </c>
      <c r="AH73" s="335">
        <f t="shared" si="16"/>
        <v>6.9</v>
      </c>
      <c r="AI73" s="585">
        <v>172459.6</v>
      </c>
      <c r="AJ73" s="397">
        <v>172610</v>
      </c>
      <c r="AK73" s="335">
        <f t="shared" si="22"/>
        <v>0.1</v>
      </c>
      <c r="AL73" s="383">
        <f t="shared" ref="AL73:AM79" si="32">B73+E73+H73+K73+Q73+T73+W73+Z73+AF73+AI73</f>
        <v>925011.74306967994</v>
      </c>
      <c r="AM73" s="383">
        <f t="shared" si="32"/>
        <v>956873.22253273008</v>
      </c>
      <c r="AN73" s="335">
        <f t="shared" si="18"/>
        <v>3.4</v>
      </c>
      <c r="AO73" s="383">
        <f t="shared" ref="AO73:AP79" si="33">B73+E73+H73+K73+N73+Q73+T73+W73+Z73+AC73+AF73+AI73</f>
        <v>925062.74306967994</v>
      </c>
      <c r="AP73" s="383">
        <f t="shared" si="33"/>
        <v>956923.8845251801</v>
      </c>
      <c r="AQ73" s="398">
        <f t="shared" si="20"/>
        <v>3.4</v>
      </c>
      <c r="AR73" s="449"/>
      <c r="AS73" s="449"/>
      <c r="AT73" s="453"/>
    </row>
    <row r="74" spans="1:46" s="422" customFormat="1" ht="20.100000000000001" customHeight="1" x14ac:dyDescent="0.3">
      <c r="A74" s="416" t="s">
        <v>247</v>
      </c>
      <c r="B74" s="399">
        <v>15.542999999999999</v>
      </c>
      <c r="C74" s="397">
        <v>22.54</v>
      </c>
      <c r="D74" s="335">
        <f>IF(B74=0, "    ---- ", IF(ABS(ROUND(100/B74*C74-100,1))&lt;999,ROUND(100/B74*C74-100,1),IF(ROUND(100/B74*C74-100,1)&gt;999,999,-999)))</f>
        <v>45</v>
      </c>
      <c r="E74" s="399">
        <v>7583.8230000000003</v>
      </c>
      <c r="F74" s="397">
        <v>7273.0444669300005</v>
      </c>
      <c r="G74" s="335">
        <f t="shared" si="14"/>
        <v>-4.0999999999999996</v>
      </c>
      <c r="H74" s="399">
        <v>3.5</v>
      </c>
      <c r="I74" s="397">
        <v>1.0009999999999999</v>
      </c>
      <c r="J74" s="335">
        <f>IF(H74=0, "    ---- ", IF(ABS(ROUND(100/H74*I74-100,1))&lt;999,ROUND(100/H74*I74-100,1),IF(ROUND(100/H74*I74-100,1)&gt;999,999,-999)))</f>
        <v>-71.400000000000006</v>
      </c>
      <c r="K74" s="399">
        <v>178</v>
      </c>
      <c r="L74" s="397">
        <v>242.6</v>
      </c>
      <c r="M74" s="381">
        <f>IF(K74=0, "    ---- ", IF(ABS(ROUND(100/K74*L74-100,1))&lt;999,ROUND(100/K74*L74-100,1),IF(ROUND(100/K74*L74-100,1)&gt;999,999,-999)))</f>
        <v>36.299999999999997</v>
      </c>
      <c r="N74" s="399"/>
      <c r="O74" s="397"/>
      <c r="P74" s="335"/>
      <c r="Q74" s="399">
        <v>25379.022959999998</v>
      </c>
      <c r="R74" s="397">
        <v>28191.044431999999</v>
      </c>
      <c r="S74" s="335">
        <f t="shared" si="29"/>
        <v>11.1</v>
      </c>
      <c r="T74" s="585">
        <v>105.011</v>
      </c>
      <c r="U74" s="397">
        <v>112.57</v>
      </c>
      <c r="V74" s="335">
        <f>IF(T74=0, "    ---- ", IF(ABS(ROUND(100/T74*U74-100,1))&lt;999,ROUND(100/T74*U74-100,1),IF(ROUND(100/T74*U74-100,1)&gt;999,999,-999)))</f>
        <v>7.2</v>
      </c>
      <c r="W74" s="399">
        <v>2054.46</v>
      </c>
      <c r="X74" s="397">
        <v>2039.65</v>
      </c>
      <c r="Y74" s="335">
        <f t="shared" si="21"/>
        <v>-0.7</v>
      </c>
      <c r="Z74" s="399">
        <v>7101</v>
      </c>
      <c r="AA74" s="397">
        <v>7503</v>
      </c>
      <c r="AB74" s="335">
        <f>IF(Z74=0, "    ---- ", IF(ABS(ROUND(100/Z74*AA74-100,1))&lt;999,ROUND(100/Z74*AA74-100,1),IF(ROUND(100/Z74*AA74-100,1)&gt;999,999,-999)))</f>
        <v>5.7</v>
      </c>
      <c r="AC74" s="399"/>
      <c r="AD74" s="397"/>
      <c r="AE74" s="335"/>
      <c r="AF74" s="399">
        <v>807.72299999999996</v>
      </c>
      <c r="AG74" s="397">
        <v>947.46799999999996</v>
      </c>
      <c r="AH74" s="335">
        <f t="shared" si="16"/>
        <v>17.3</v>
      </c>
      <c r="AI74" s="585">
        <v>8285.9</v>
      </c>
      <c r="AJ74" s="397">
        <v>8218</v>
      </c>
      <c r="AK74" s="335">
        <f t="shared" si="22"/>
        <v>-0.8</v>
      </c>
      <c r="AL74" s="383">
        <f t="shared" si="32"/>
        <v>51513.982959999994</v>
      </c>
      <c r="AM74" s="383">
        <f t="shared" si="32"/>
        <v>54550.917898930005</v>
      </c>
      <c r="AN74" s="335">
        <f t="shared" si="18"/>
        <v>5.9</v>
      </c>
      <c r="AO74" s="383">
        <f t="shared" si="33"/>
        <v>51513.982959999994</v>
      </c>
      <c r="AP74" s="383">
        <f t="shared" si="33"/>
        <v>54550.917898930005</v>
      </c>
      <c r="AQ74" s="398">
        <f t="shared" si="20"/>
        <v>5.9</v>
      </c>
      <c r="AR74" s="449"/>
      <c r="AS74" s="449"/>
      <c r="AT74" s="453"/>
    </row>
    <row r="75" spans="1:46" s="422" customFormat="1" ht="20.100000000000001" customHeight="1" x14ac:dyDescent="0.3">
      <c r="A75" s="416" t="s">
        <v>248</v>
      </c>
      <c r="B75" s="399">
        <v>35.264000000000003</v>
      </c>
      <c r="C75" s="397">
        <v>45.917000000000002</v>
      </c>
      <c r="D75" s="335">
        <f>IF(B75=0, "    ---- ", IF(ABS(ROUND(100/B75*C75-100,1))&lt;999,ROUND(100/B75*C75-100,1),IF(ROUND(100/B75*C75-100,1)&gt;999,999,-999)))</f>
        <v>30.2</v>
      </c>
      <c r="E75" s="399">
        <v>3200.43</v>
      </c>
      <c r="F75" s="397">
        <v>4272.9327433600001</v>
      </c>
      <c r="G75" s="335">
        <f t="shared" si="14"/>
        <v>33.5</v>
      </c>
      <c r="H75" s="399"/>
      <c r="I75" s="397">
        <v>7.9649999999999999</v>
      </c>
      <c r="J75" s="335"/>
      <c r="K75" s="399">
        <v>10</v>
      </c>
      <c r="L75" s="397">
        <v>19.399999999999999</v>
      </c>
      <c r="M75" s="381">
        <f>IF(K75=0, "    ---- ", IF(ABS(ROUND(100/K75*L75-100,1))&lt;999,ROUND(100/K75*L75-100,1),IF(ROUND(100/K75*L75-100,1)&gt;999,999,-999)))</f>
        <v>94</v>
      </c>
      <c r="N75" s="399"/>
      <c r="O75" s="397"/>
      <c r="P75" s="335"/>
      <c r="Q75" s="399">
        <v>38442.301187999998</v>
      </c>
      <c r="R75" s="397">
        <v>48089.418101249998</v>
      </c>
      <c r="S75" s="335">
        <f t="shared" si="29"/>
        <v>25.1</v>
      </c>
      <c r="T75" s="585">
        <v>12.946999999999999</v>
      </c>
      <c r="U75" s="397">
        <v>14.45</v>
      </c>
      <c r="V75" s="335">
        <f>IF(T75=0, "    ---- ", IF(ABS(ROUND(100/T75*U75-100,1))&lt;999,ROUND(100/T75*U75-100,1),IF(ROUND(100/T75*U75-100,1)&gt;999,999,-999)))</f>
        <v>11.6</v>
      </c>
      <c r="W75" s="399">
        <v>1337.32</v>
      </c>
      <c r="X75" s="397">
        <v>1662.59</v>
      </c>
      <c r="Y75" s="335">
        <f t="shared" si="21"/>
        <v>24.3</v>
      </c>
      <c r="Z75" s="399">
        <v>10751</v>
      </c>
      <c r="AA75" s="397">
        <v>13188</v>
      </c>
      <c r="AB75" s="335">
        <f>IF(Z75=0, "    ---- ", IF(ABS(ROUND(100/Z75*AA75-100,1))&lt;999,ROUND(100/Z75*AA75-100,1),IF(ROUND(100/Z75*AA75-100,1)&gt;999,999,-999)))</f>
        <v>22.7</v>
      </c>
      <c r="AC75" s="399"/>
      <c r="AD75" s="397"/>
      <c r="AE75" s="335"/>
      <c r="AF75" s="399">
        <v>2187.9209999999998</v>
      </c>
      <c r="AG75" s="397">
        <v>2121.049</v>
      </c>
      <c r="AH75" s="335">
        <f t="shared" si="16"/>
        <v>-3.1</v>
      </c>
      <c r="AI75" s="585">
        <v>2719.9</v>
      </c>
      <c r="AJ75" s="397">
        <v>5140</v>
      </c>
      <c r="AK75" s="335">
        <f t="shared" si="22"/>
        <v>89</v>
      </c>
      <c r="AL75" s="383">
        <f t="shared" si="32"/>
        <v>58697.083188000004</v>
      </c>
      <c r="AM75" s="383">
        <f t="shared" si="32"/>
        <v>74561.721844609987</v>
      </c>
      <c r="AN75" s="335">
        <f t="shared" si="18"/>
        <v>27</v>
      </c>
      <c r="AO75" s="383">
        <f t="shared" si="33"/>
        <v>58697.083188000004</v>
      </c>
      <c r="AP75" s="383">
        <f t="shared" si="33"/>
        <v>74561.721844609987</v>
      </c>
      <c r="AQ75" s="398">
        <f t="shared" si="20"/>
        <v>27</v>
      </c>
      <c r="AR75" s="449"/>
      <c r="AS75" s="449"/>
      <c r="AT75" s="453"/>
    </row>
    <row r="76" spans="1:46" s="422" customFormat="1" ht="20.100000000000001" customHeight="1" x14ac:dyDescent="0.3">
      <c r="A76" s="416" t="s">
        <v>404</v>
      </c>
      <c r="B76" s="399">
        <v>16.082999999999998</v>
      </c>
      <c r="C76" s="397">
        <v>15.932</v>
      </c>
      <c r="D76" s="335">
        <f>IF(B76=0, "    ---- ", IF(ABS(ROUND(100/B76*C76-100,1))&lt;999,ROUND(100/B76*C76-100,1),IF(ROUND(100/B76*C76-100,1)&gt;999,999,-999)))</f>
        <v>-0.9</v>
      </c>
      <c r="E76" s="399"/>
      <c r="F76" s="397">
        <v>741.28888117999998</v>
      </c>
      <c r="G76" s="335" t="str">
        <f t="shared" si="14"/>
        <v xml:space="preserve">    ---- </v>
      </c>
      <c r="H76" s="399"/>
      <c r="I76" s="397"/>
      <c r="J76" s="335"/>
      <c r="K76" s="399">
        <v>1</v>
      </c>
      <c r="L76" s="397">
        <v>1.3</v>
      </c>
      <c r="M76" s="381"/>
      <c r="N76" s="399"/>
      <c r="O76" s="397"/>
      <c r="P76" s="335"/>
      <c r="Q76" s="399">
        <v>14871.025879999999</v>
      </c>
      <c r="R76" s="397">
        <v>12406.916783000001</v>
      </c>
      <c r="S76" s="335">
        <f t="shared" si="29"/>
        <v>-16.600000000000001</v>
      </c>
      <c r="T76" s="585">
        <v>17.949000000000002</v>
      </c>
      <c r="U76" s="397">
        <v>19.814</v>
      </c>
      <c r="V76" s="335">
        <f>IF(T76=0, "    ---- ", IF(ABS(ROUND(100/T76*U76-100,1))&lt;999,ROUND(100/T76*U76-100,1),IF(ROUND(100/T76*U76-100,1)&gt;999,999,-999)))</f>
        <v>10.4</v>
      </c>
      <c r="W76" s="399">
        <v>665.78</v>
      </c>
      <c r="X76" s="397">
        <v>697.5</v>
      </c>
      <c r="Y76" s="335">
        <f t="shared" si="21"/>
        <v>4.8</v>
      </c>
      <c r="Z76" s="399">
        <v>2160</v>
      </c>
      <c r="AA76" s="397">
        <v>2963</v>
      </c>
      <c r="AB76" s="335"/>
      <c r="AC76" s="399"/>
      <c r="AD76" s="397"/>
      <c r="AE76" s="335"/>
      <c r="AF76" s="399">
        <v>372.24900000000002</v>
      </c>
      <c r="AG76" s="397">
        <v>189.21100000000001</v>
      </c>
      <c r="AH76" s="335">
        <f t="shared" si="16"/>
        <v>-49.2</v>
      </c>
      <c r="AI76" s="585">
        <v>2230.6999999999998</v>
      </c>
      <c r="AJ76" s="397">
        <v>1971</v>
      </c>
      <c r="AK76" s="335">
        <f t="shared" si="22"/>
        <v>-11.6</v>
      </c>
      <c r="AL76" s="383">
        <f t="shared" si="32"/>
        <v>20334.78688</v>
      </c>
      <c r="AM76" s="383">
        <f t="shared" si="32"/>
        <v>19005.962664180002</v>
      </c>
      <c r="AN76" s="335">
        <f t="shared" si="18"/>
        <v>-6.5</v>
      </c>
      <c r="AO76" s="383">
        <f t="shared" si="33"/>
        <v>20334.78688</v>
      </c>
      <c r="AP76" s="383">
        <f t="shared" si="33"/>
        <v>19005.962664180002</v>
      </c>
      <c r="AQ76" s="398">
        <f t="shared" si="20"/>
        <v>-6.5</v>
      </c>
      <c r="AR76" s="449"/>
      <c r="AS76" s="449"/>
      <c r="AT76" s="453"/>
    </row>
    <row r="77" spans="1:46" s="422" customFormat="1" ht="20.100000000000001" customHeight="1" x14ac:dyDescent="0.3">
      <c r="A77" s="416" t="s">
        <v>368</v>
      </c>
      <c r="B77" s="399">
        <v>55.965000000000003</v>
      </c>
      <c r="C77" s="397">
        <v>50.585999999999999</v>
      </c>
      <c r="D77" s="335">
        <f>IF(B77=0, "    ---- ", IF(ABS(ROUND(100/B77*C77-100,1))&lt;999,ROUND(100/B77*C77-100,1),IF(ROUND(100/B77*C77-100,1)&gt;999,999,-999)))</f>
        <v>-9.6</v>
      </c>
      <c r="E77" s="399">
        <v>1042.115</v>
      </c>
      <c r="F77" s="397">
        <v>307.89505923000002</v>
      </c>
      <c r="G77" s="335">
        <f t="shared" si="14"/>
        <v>-70.5</v>
      </c>
      <c r="H77" s="399">
        <v>24.4</v>
      </c>
      <c r="I77" s="397">
        <v>28.654</v>
      </c>
      <c r="J77" s="335">
        <f>IF(H77=0, "    ---- ", IF(ABS(ROUND(100/H77*I77-100,1))&lt;999,ROUND(100/H77*I77-100,1),IF(ROUND(100/H77*I77-100,1)&gt;999,999,-999)))</f>
        <v>17.399999999999999</v>
      </c>
      <c r="K77" s="399"/>
      <c r="L77" s="397"/>
      <c r="M77" s="381"/>
      <c r="N77" s="399"/>
      <c r="O77" s="397"/>
      <c r="P77" s="335"/>
      <c r="Q77" s="399">
        <v>0</v>
      </c>
      <c r="R77" s="397">
        <v>0</v>
      </c>
      <c r="S77" s="335"/>
      <c r="T77" s="585"/>
      <c r="U77" s="397"/>
      <c r="V77" s="335"/>
      <c r="W77" s="399">
        <v>0</v>
      </c>
      <c r="X77" s="397">
        <v>0</v>
      </c>
      <c r="Y77" s="335" t="str">
        <f t="shared" si="21"/>
        <v xml:space="preserve">    ---- </v>
      </c>
      <c r="Z77" s="399">
        <v>449</v>
      </c>
      <c r="AA77" s="397">
        <v>422</v>
      </c>
      <c r="AB77" s="335"/>
      <c r="AC77" s="399"/>
      <c r="AD77" s="397"/>
      <c r="AE77" s="335"/>
      <c r="AF77" s="399"/>
      <c r="AG77" s="397"/>
      <c r="AH77" s="335" t="str">
        <f t="shared" si="16"/>
        <v xml:space="preserve">    ---- </v>
      </c>
      <c r="AI77" s="585">
        <v>571.6</v>
      </c>
      <c r="AJ77" s="397">
        <v>646</v>
      </c>
      <c r="AK77" s="335">
        <f t="shared" si="22"/>
        <v>13</v>
      </c>
      <c r="AL77" s="383">
        <f t="shared" si="32"/>
        <v>2143.08</v>
      </c>
      <c r="AM77" s="383">
        <f t="shared" si="32"/>
        <v>1455.13505923</v>
      </c>
      <c r="AN77" s="335">
        <f t="shared" si="18"/>
        <v>-32.1</v>
      </c>
      <c r="AO77" s="383">
        <f t="shared" si="33"/>
        <v>2143.08</v>
      </c>
      <c r="AP77" s="383">
        <f t="shared" si="33"/>
        <v>1455.13505923</v>
      </c>
      <c r="AQ77" s="398">
        <f t="shared" si="20"/>
        <v>-32.1</v>
      </c>
      <c r="AR77" s="449"/>
      <c r="AS77" s="449"/>
      <c r="AT77" s="453"/>
    </row>
    <row r="78" spans="1:46" s="422" customFormat="1" ht="20.100000000000001" customHeight="1" x14ac:dyDescent="0.3">
      <c r="A78" s="416" t="s">
        <v>249</v>
      </c>
      <c r="B78" s="399"/>
      <c r="C78" s="397"/>
      <c r="D78" s="335"/>
      <c r="E78" s="399">
        <v>225.042</v>
      </c>
      <c r="F78" s="397"/>
      <c r="G78" s="335"/>
      <c r="H78" s="399"/>
      <c r="I78" s="397"/>
      <c r="J78" s="335"/>
      <c r="K78" s="399">
        <v>73</v>
      </c>
      <c r="L78" s="397">
        <v>34.9</v>
      </c>
      <c r="M78" s="381"/>
      <c r="N78" s="399"/>
      <c r="O78" s="397"/>
      <c r="P78" s="335"/>
      <c r="Q78" s="399">
        <v>5147.6995770000003</v>
      </c>
      <c r="R78" s="397">
        <v>4406.8756880000001</v>
      </c>
      <c r="S78" s="335"/>
      <c r="T78" s="585">
        <v>18.835999999999999</v>
      </c>
      <c r="U78" s="397">
        <v>7.1109999999999998</v>
      </c>
      <c r="V78" s="335"/>
      <c r="W78" s="399"/>
      <c r="X78" s="397"/>
      <c r="Y78" s="335"/>
      <c r="Z78" s="399">
        <v>1081</v>
      </c>
      <c r="AA78" s="397">
        <v>91</v>
      </c>
      <c r="AB78" s="335"/>
      <c r="AC78" s="399"/>
      <c r="AD78" s="397"/>
      <c r="AE78" s="335"/>
      <c r="AF78" s="399">
        <v>172.62174122000025</v>
      </c>
      <c r="AG78" s="397">
        <v>760.34118804000025</v>
      </c>
      <c r="AH78" s="335"/>
      <c r="AI78" s="585">
        <v>687.3</v>
      </c>
      <c r="AJ78" s="397">
        <v>434</v>
      </c>
      <c r="AK78" s="335"/>
      <c r="AL78" s="383">
        <f t="shared" si="32"/>
        <v>7405.4993182200014</v>
      </c>
      <c r="AM78" s="383">
        <f t="shared" si="32"/>
        <v>5734.2278760399995</v>
      </c>
      <c r="AN78" s="335">
        <f t="shared" si="18"/>
        <v>-22.6</v>
      </c>
      <c r="AO78" s="383">
        <f t="shared" si="33"/>
        <v>7405.4993182200014</v>
      </c>
      <c r="AP78" s="383">
        <f t="shared" si="33"/>
        <v>5734.2278760399995</v>
      </c>
      <c r="AQ78" s="398">
        <f t="shared" si="20"/>
        <v>-22.6</v>
      </c>
      <c r="AR78" s="449"/>
      <c r="AS78" s="449"/>
      <c r="AT78" s="453"/>
    </row>
    <row r="79" spans="1:46" s="422" customFormat="1" ht="20.100000000000001" customHeight="1" x14ac:dyDescent="0.3">
      <c r="A79" s="417" t="s">
        <v>250</v>
      </c>
      <c r="B79" s="596">
        <v>1062.4449999999999</v>
      </c>
      <c r="C79" s="397">
        <f>SUM(C73:C78)</f>
        <v>1199.4549999999999</v>
      </c>
      <c r="D79" s="335">
        <f>IF(B79=0, "    ---- ", IF(ABS(ROUND(100/B79*C79-100,1))&lt;999,ROUND(100/B79*C79-100,1),IF(ROUND(100/B79*C79-100,1)&gt;999,999,-999)))</f>
        <v>12.9</v>
      </c>
      <c r="E79" s="596">
        <v>207702.88899999997</v>
      </c>
      <c r="F79" s="397">
        <f>SUM(F73:F78)</f>
        <v>206923.65395953</v>
      </c>
      <c r="G79" s="335">
        <f t="shared" si="14"/>
        <v>-0.4</v>
      </c>
      <c r="H79" s="596">
        <v>1154.8000000000002</v>
      </c>
      <c r="I79" s="397">
        <f>SUM(I73:I78)</f>
        <v>1307.058</v>
      </c>
      <c r="J79" s="335">
        <f>IF(H79=0, "    ---- ", IF(ABS(ROUND(100/H79*I79-100,1))&lt;999,ROUND(100/H79*I79-100,1),IF(ROUND(100/H79*I79-100,1)&gt;999,999,-999)))</f>
        <v>13.2</v>
      </c>
      <c r="K79" s="596">
        <f>SUM(K73:K78)</f>
        <v>6339</v>
      </c>
      <c r="L79" s="397">
        <f>SUM(L73:L78)</f>
        <v>6946.2</v>
      </c>
      <c r="M79" s="381">
        <f>IF(K79=0, "    ---- ", IF(ABS(ROUND(100/K79*L79-100,1))&lt;999,ROUND(100/K79*L79-100,1),IF(ROUND(100/K79*L79-100,1)&gt;999,999,-999)))</f>
        <v>9.6</v>
      </c>
      <c r="N79" s="596">
        <v>51</v>
      </c>
      <c r="O79" s="397">
        <f>SUM(O73:O78)</f>
        <v>50.66199245</v>
      </c>
      <c r="P79" s="335">
        <f>IF(N79=0, "    ---- ", IF(ABS(ROUND(100/N79*O79-100,1))&lt;999,ROUND(100/N79*O79-100,1),IF(ROUND(100/N79*O79-100,1)&gt;999,999,-999)))</f>
        <v>-0.7</v>
      </c>
      <c r="Q79" s="399">
        <v>504028.19267467991</v>
      </c>
      <c r="R79" s="397">
        <f>SUM(R73:R78)</f>
        <v>540001.28972815012</v>
      </c>
      <c r="S79" s="335">
        <f t="shared" si="29"/>
        <v>7.1</v>
      </c>
      <c r="T79" s="585">
        <v>1688.8419999999999</v>
      </c>
      <c r="U79" s="397">
        <f>SUM(U73:U78)</f>
        <v>1745.8880000000001</v>
      </c>
      <c r="V79" s="335">
        <f>IF(T79=0, "    ---- ", IF(ABS(ROUND(100/T79*U79-100,1))&lt;999,ROUND(100/T79*U79-100,1),IF(ROUND(100/T79*U79-100,1)&gt;999,999,-999)))</f>
        <v>3.4</v>
      </c>
      <c r="W79" s="399">
        <v>49965.829999999994</v>
      </c>
      <c r="X79" s="397">
        <f>SUM(X73:X78)</f>
        <v>51019.702000000005</v>
      </c>
      <c r="Y79" s="335">
        <f t="shared" si="21"/>
        <v>2.1</v>
      </c>
      <c r="Z79" s="399">
        <v>82853</v>
      </c>
      <c r="AA79" s="397">
        <f>SUM(AA73:AA78)</f>
        <v>88815</v>
      </c>
      <c r="AB79" s="335">
        <f>IF(Z79=0, "    ---- ", IF(ABS(ROUND(100/Z79*AA79-100,1))&lt;999,ROUND(100/Z79*AA79-100,1),IF(ROUND(100/Z79*AA79-100,1)&gt;999,999,-999)))</f>
        <v>7.2</v>
      </c>
      <c r="AC79" s="399"/>
      <c r="AD79" s="397"/>
      <c r="AE79" s="335"/>
      <c r="AF79" s="399">
        <f>SUM(AF73:AF78)</f>
        <v>23356.176741219999</v>
      </c>
      <c r="AG79" s="397">
        <f>SUM(AG73:AG78)</f>
        <v>25203.94118804</v>
      </c>
      <c r="AH79" s="335">
        <f t="shared" si="16"/>
        <v>7.9</v>
      </c>
      <c r="AI79" s="585">
        <f>SUM(AI73:AI78)</f>
        <v>186955</v>
      </c>
      <c r="AJ79" s="397">
        <f>SUM(AJ73:AJ78)</f>
        <v>189019</v>
      </c>
      <c r="AK79" s="335">
        <f t="shared" si="22"/>
        <v>1.1000000000000001</v>
      </c>
      <c r="AL79" s="383">
        <f t="shared" si="32"/>
        <v>1065106.1754158998</v>
      </c>
      <c r="AM79" s="383">
        <f t="shared" si="32"/>
        <v>1112181.1878757202</v>
      </c>
      <c r="AN79" s="335">
        <f t="shared" si="18"/>
        <v>4.4000000000000004</v>
      </c>
      <c r="AO79" s="383">
        <f t="shared" si="33"/>
        <v>1065157.1754158998</v>
      </c>
      <c r="AP79" s="383">
        <f t="shared" si="33"/>
        <v>1112231.8498681702</v>
      </c>
      <c r="AQ79" s="398">
        <f t="shared" si="20"/>
        <v>4.4000000000000004</v>
      </c>
      <c r="AR79" s="449"/>
      <c r="AS79" s="449"/>
      <c r="AT79" s="453"/>
    </row>
    <row r="80" spans="1:46" s="422" customFormat="1" ht="20.100000000000001" customHeight="1" x14ac:dyDescent="0.3">
      <c r="A80" s="416" t="s">
        <v>251</v>
      </c>
      <c r="B80" s="399"/>
      <c r="C80" s="397"/>
      <c r="D80" s="335"/>
      <c r="E80" s="399"/>
      <c r="F80" s="397"/>
      <c r="G80" s="335"/>
      <c r="H80" s="399"/>
      <c r="I80" s="397"/>
      <c r="J80" s="335"/>
      <c r="K80" s="399"/>
      <c r="L80" s="397"/>
      <c r="M80" s="381"/>
      <c r="N80" s="399"/>
      <c r="O80" s="397"/>
      <c r="P80" s="335"/>
      <c r="Q80" s="399"/>
      <c r="R80" s="397"/>
      <c r="S80" s="335"/>
      <c r="T80" s="585"/>
      <c r="U80" s="397"/>
      <c r="V80" s="335"/>
      <c r="W80" s="399"/>
      <c r="X80" s="397"/>
      <c r="Y80" s="335"/>
      <c r="Z80" s="399"/>
      <c r="AA80" s="397"/>
      <c r="AB80" s="335"/>
      <c r="AC80" s="399"/>
      <c r="AD80" s="397"/>
      <c r="AE80" s="335"/>
      <c r="AF80" s="399"/>
      <c r="AG80" s="397"/>
      <c r="AH80" s="335"/>
      <c r="AI80" s="585"/>
      <c r="AJ80" s="397"/>
      <c r="AK80" s="335"/>
      <c r="AL80" s="383"/>
      <c r="AM80" s="383"/>
      <c r="AN80" s="335"/>
      <c r="AO80" s="383"/>
      <c r="AP80" s="383"/>
      <c r="AQ80" s="398"/>
      <c r="AR80" s="449"/>
      <c r="AS80" s="449"/>
      <c r="AT80" s="453"/>
    </row>
    <row r="81" spans="1:46" s="422" customFormat="1" ht="20.100000000000001" customHeight="1" x14ac:dyDescent="0.3">
      <c r="A81" s="416" t="s">
        <v>405</v>
      </c>
      <c r="B81" s="399">
        <v>17197.579000000002</v>
      </c>
      <c r="C81" s="397">
        <v>18970.745999999999</v>
      </c>
      <c r="D81" s="335">
        <f>IF(B81=0, "    ---- ", IF(ABS(ROUND(100/B81*C81-100,1))&lt;999,ROUND(100/B81*C81-100,1),IF(ROUND(100/B81*C81-100,1)&gt;999,999,-999)))</f>
        <v>10.3</v>
      </c>
      <c r="E81" s="399">
        <v>77636.428</v>
      </c>
      <c r="F81" s="397">
        <v>89071.100351329995</v>
      </c>
      <c r="G81" s="335">
        <f t="shared" si="14"/>
        <v>14.7</v>
      </c>
      <c r="H81" s="399">
        <v>3320</v>
      </c>
      <c r="I81" s="397">
        <v>3826.7869999999998</v>
      </c>
      <c r="J81" s="335">
        <f>IF(H81=0, "    ---- ", IF(ABS(ROUND(100/H81*I81-100,1))&lt;999,ROUND(100/H81*I81-100,1),IF(ROUND(100/H81*I81-100,1)&gt;999,999,-999)))</f>
        <v>15.3</v>
      </c>
      <c r="K81" s="399">
        <v>23584</v>
      </c>
      <c r="L81" s="397">
        <v>26926.6</v>
      </c>
      <c r="M81" s="381">
        <f>IF(K81=0, "    ---- ", IF(ABS(ROUND(100/K81*L81-100,1))&lt;999,ROUND(100/K81*L81-100,1),IF(ROUND(100/K81*L81-100,1)&gt;999,999,-999)))</f>
        <v>14.2</v>
      </c>
      <c r="N81" s="399"/>
      <c r="O81" s="397"/>
      <c r="P81" s="335"/>
      <c r="Q81" s="399">
        <v>1909.82216515</v>
      </c>
      <c r="R81" s="397">
        <v>1993.6698191500002</v>
      </c>
      <c r="S81" s="335">
        <f t="shared" ref="S81:S91" si="34">IF(Q81=0, "    ---- ", IF(ABS(ROUND(100/Q81*R81-100,1))&lt;999,ROUND(100/Q81*R81-100,1),IF(ROUND(100/Q81*R81-100,1)&gt;999,999,-999)))</f>
        <v>4.4000000000000004</v>
      </c>
      <c r="T81" s="585">
        <v>3064.32</v>
      </c>
      <c r="U81" s="397">
        <v>4226.3639999999996</v>
      </c>
      <c r="V81" s="335">
        <f>IF(T81=0, "    ---- ", IF(ABS(ROUND(100/T81*U81-100,1))&lt;999,ROUND(100/T81*U81-100,1),IF(ROUND(100/T81*U81-100,1)&gt;999,999,-999)))</f>
        <v>37.9</v>
      </c>
      <c r="W81" s="399">
        <v>60641.55</v>
      </c>
      <c r="X81" s="397">
        <v>68352.09</v>
      </c>
      <c r="Y81" s="335">
        <f t="shared" si="21"/>
        <v>12.7</v>
      </c>
      <c r="Z81" s="399"/>
      <c r="AA81" s="397"/>
      <c r="AB81" s="335"/>
      <c r="AC81" s="399">
        <v>2164</v>
      </c>
      <c r="AD81" s="397">
        <v>2307.6934400700002</v>
      </c>
      <c r="AE81" s="335">
        <f>IF(AC81=0, "    ---- ", IF(ABS(ROUND(100/AC81*AD81-100,1))&lt;999,ROUND(100/AC81*AD81-100,1),IF(ROUND(100/AC81*AD81-100,1)&gt;999,999,-999)))</f>
        <v>6.6</v>
      </c>
      <c r="AF81" s="399">
        <v>27524.59</v>
      </c>
      <c r="AG81" s="397">
        <v>31709.135999999999</v>
      </c>
      <c r="AH81" s="335">
        <f t="shared" si="16"/>
        <v>15.2</v>
      </c>
      <c r="AI81" s="585">
        <v>93649</v>
      </c>
      <c r="AJ81" s="397">
        <v>103811</v>
      </c>
      <c r="AK81" s="335">
        <f t="shared" si="22"/>
        <v>10.9</v>
      </c>
      <c r="AL81" s="383">
        <f t="shared" ref="AL81:AM89" si="35">B81+E81+H81+K81+Q81+T81+W81+Z81+AF81+AI81</f>
        <v>308527.28916515002</v>
      </c>
      <c r="AM81" s="383">
        <f t="shared" si="35"/>
        <v>348887.49317048001</v>
      </c>
      <c r="AN81" s="335">
        <f t="shared" si="18"/>
        <v>13.1</v>
      </c>
      <c r="AO81" s="383">
        <f t="shared" ref="AO81:AP89" si="36">B81+E81+H81+K81+N81+Q81+T81+W81+Z81+AC81+AF81+AI81</f>
        <v>310691.28916515002</v>
      </c>
      <c r="AP81" s="383">
        <f t="shared" si="36"/>
        <v>351195.18661054998</v>
      </c>
      <c r="AQ81" s="398">
        <f t="shared" si="20"/>
        <v>13</v>
      </c>
      <c r="AR81" s="449"/>
      <c r="AS81" s="449"/>
      <c r="AT81" s="453"/>
    </row>
    <row r="82" spans="1:46" s="422" customFormat="1" ht="20.100000000000001" customHeight="1" x14ac:dyDescent="0.3">
      <c r="A82" s="416" t="s">
        <v>406</v>
      </c>
      <c r="B82" s="399"/>
      <c r="C82" s="397"/>
      <c r="D82" s="335"/>
      <c r="E82" s="399"/>
      <c r="F82" s="397"/>
      <c r="G82" s="335"/>
      <c r="H82" s="399"/>
      <c r="I82" s="397"/>
      <c r="J82" s="335"/>
      <c r="K82" s="399"/>
      <c r="L82" s="397"/>
      <c r="M82" s="335"/>
      <c r="N82" s="399"/>
      <c r="O82" s="397"/>
      <c r="P82" s="335"/>
      <c r="Q82" s="399">
        <v>140.040133</v>
      </c>
      <c r="R82" s="397">
        <v>99.874167999999997</v>
      </c>
      <c r="S82" s="335"/>
      <c r="T82" s="585"/>
      <c r="U82" s="397"/>
      <c r="V82" s="335"/>
      <c r="W82" s="399">
        <v>0</v>
      </c>
      <c r="X82" s="397">
        <v>0</v>
      </c>
      <c r="Y82" s="335" t="str">
        <f t="shared" si="21"/>
        <v xml:space="preserve">    ---- </v>
      </c>
      <c r="Z82" s="399"/>
      <c r="AA82" s="397"/>
      <c r="AB82" s="335"/>
      <c r="AC82" s="399"/>
      <c r="AD82" s="397"/>
      <c r="AE82" s="335"/>
      <c r="AF82" s="399">
        <v>0</v>
      </c>
      <c r="AG82" s="397">
        <v>0</v>
      </c>
      <c r="AH82" s="335" t="str">
        <f t="shared" si="16"/>
        <v xml:space="preserve">    ---- </v>
      </c>
      <c r="AI82" s="585"/>
      <c r="AJ82" s="397"/>
      <c r="AK82" s="335" t="str">
        <f t="shared" si="22"/>
        <v xml:space="preserve">    ---- </v>
      </c>
      <c r="AL82" s="383">
        <f t="shared" si="35"/>
        <v>140.040133</v>
      </c>
      <c r="AM82" s="383">
        <f t="shared" si="35"/>
        <v>99.874167999999997</v>
      </c>
      <c r="AN82" s="335">
        <f t="shared" si="18"/>
        <v>-28.7</v>
      </c>
      <c r="AO82" s="383">
        <f t="shared" si="36"/>
        <v>140.040133</v>
      </c>
      <c r="AP82" s="383">
        <f t="shared" si="36"/>
        <v>99.874167999999997</v>
      </c>
      <c r="AQ82" s="398">
        <f t="shared" si="20"/>
        <v>-28.7</v>
      </c>
      <c r="AR82" s="449"/>
      <c r="AS82" s="449"/>
      <c r="AT82" s="453"/>
    </row>
    <row r="83" spans="1:46" s="422" customFormat="1" ht="20.100000000000001" customHeight="1" x14ac:dyDescent="0.3">
      <c r="A83" s="416" t="s">
        <v>407</v>
      </c>
      <c r="B83" s="404">
        <v>68.751999999999995</v>
      </c>
      <c r="C83" s="335">
        <v>59.860999999999997</v>
      </c>
      <c r="D83" s="335">
        <f>IF(B83=0, "    ---- ", IF(ABS(ROUND(100/B83*C83-100,1))&lt;999,ROUND(100/B83*C83-100,1),IF(ROUND(100/B83*C83-100,1)&gt;999,999,-999)))</f>
        <v>-12.9</v>
      </c>
      <c r="E83" s="404">
        <v>641.05899999999997</v>
      </c>
      <c r="F83" s="335">
        <v>643.90167535</v>
      </c>
      <c r="G83" s="335">
        <f t="shared" si="14"/>
        <v>0.4</v>
      </c>
      <c r="H83" s="404"/>
      <c r="I83" s="335"/>
      <c r="J83" s="335"/>
      <c r="K83" s="404">
        <v>321</v>
      </c>
      <c r="L83" s="335">
        <v>294.7</v>
      </c>
      <c r="M83" s="335">
        <f>IF(K83=0, "    ---- ", IF(ABS(ROUND(100/K83*L83-100,1))&lt;999,ROUND(100/K83*L83-100,1),IF(ROUND(100/K83*L83-100,1)&gt;999,999,-999)))</f>
        <v>-8.1999999999999993</v>
      </c>
      <c r="N83" s="404"/>
      <c r="O83" s="335"/>
      <c r="P83" s="335"/>
      <c r="Q83" s="404">
        <v>397.90044699999999</v>
      </c>
      <c r="R83" s="335">
        <v>390.09968900000001</v>
      </c>
      <c r="S83" s="335">
        <f t="shared" si="34"/>
        <v>-2</v>
      </c>
      <c r="T83" s="567">
        <v>10.82</v>
      </c>
      <c r="U83" s="335">
        <v>15.861000000000001</v>
      </c>
      <c r="V83" s="335">
        <f>IF(T83=0, "    ---- ", IF(ABS(ROUND(100/T83*U83-100,1))&lt;999,ROUND(100/T83*U83-100,1),IF(ROUND(100/T83*U83-100,1)&gt;999,999,-999)))</f>
        <v>46.6</v>
      </c>
      <c r="W83" s="404">
        <v>0</v>
      </c>
      <c r="X83" s="335">
        <v>0</v>
      </c>
      <c r="Y83" s="335"/>
      <c r="Z83" s="404"/>
      <c r="AA83" s="335"/>
      <c r="AB83" s="335"/>
      <c r="AC83" s="404"/>
      <c r="AD83" s="335"/>
      <c r="AE83" s="335"/>
      <c r="AF83" s="404">
        <v>485.68099999999998</v>
      </c>
      <c r="AG83" s="335">
        <v>489.77800000000002</v>
      </c>
      <c r="AH83" s="335">
        <f t="shared" si="16"/>
        <v>0.8</v>
      </c>
      <c r="AI83" s="567"/>
      <c r="AJ83" s="335"/>
      <c r="AK83" s="335" t="str">
        <f t="shared" si="22"/>
        <v xml:space="preserve">    ---- </v>
      </c>
      <c r="AL83" s="383">
        <f t="shared" si="35"/>
        <v>1925.2124469999999</v>
      </c>
      <c r="AM83" s="383">
        <f t="shared" si="35"/>
        <v>1894.2013643499999</v>
      </c>
      <c r="AN83" s="335">
        <f t="shared" si="18"/>
        <v>-1.6</v>
      </c>
      <c r="AO83" s="383">
        <f t="shared" si="36"/>
        <v>1925.2124469999999</v>
      </c>
      <c r="AP83" s="383">
        <f t="shared" si="36"/>
        <v>1894.2013643499999</v>
      </c>
      <c r="AQ83" s="398">
        <f t="shared" si="20"/>
        <v>-1.6</v>
      </c>
      <c r="AR83" s="449"/>
      <c r="AS83" s="449"/>
      <c r="AT83" s="453"/>
    </row>
    <row r="84" spans="1:46" s="422" customFormat="1" ht="20.100000000000001" customHeight="1" x14ac:dyDescent="0.3">
      <c r="A84" s="416" t="s">
        <v>249</v>
      </c>
      <c r="B84" s="399"/>
      <c r="C84" s="397"/>
      <c r="D84" s="397"/>
      <c r="E84" s="399"/>
      <c r="F84" s="397"/>
      <c r="G84" s="397"/>
      <c r="H84" s="399"/>
      <c r="I84" s="397"/>
      <c r="J84" s="397"/>
      <c r="K84" s="399"/>
      <c r="L84" s="397"/>
      <c r="M84" s="381"/>
      <c r="N84" s="399"/>
      <c r="O84" s="397"/>
      <c r="P84" s="335"/>
      <c r="Q84" s="399">
        <v>3.3330760000000001</v>
      </c>
      <c r="R84" s="397">
        <v>103.575507</v>
      </c>
      <c r="S84" s="335"/>
      <c r="T84" s="585"/>
      <c r="U84" s="397"/>
      <c r="V84" s="335"/>
      <c r="W84" s="399"/>
      <c r="X84" s="397"/>
      <c r="Y84" s="335"/>
      <c r="Z84" s="399"/>
      <c r="AA84" s="397"/>
      <c r="AB84" s="335"/>
      <c r="AC84" s="399"/>
      <c r="AD84" s="397"/>
      <c r="AE84" s="397"/>
      <c r="AF84" s="399"/>
      <c r="AG84" s="397"/>
      <c r="AH84" s="335"/>
      <c r="AI84" s="585"/>
      <c r="AJ84" s="397"/>
      <c r="AK84" s="335"/>
      <c r="AL84" s="383">
        <f t="shared" si="35"/>
        <v>3.3330760000000001</v>
      </c>
      <c r="AM84" s="383">
        <f t="shared" si="35"/>
        <v>103.575507</v>
      </c>
      <c r="AN84" s="335">
        <f t="shared" si="18"/>
        <v>999</v>
      </c>
      <c r="AO84" s="383">
        <f t="shared" si="36"/>
        <v>3.3330760000000001</v>
      </c>
      <c r="AP84" s="383">
        <f t="shared" si="36"/>
        <v>103.575507</v>
      </c>
      <c r="AQ84" s="398">
        <f t="shared" si="20"/>
        <v>999</v>
      </c>
      <c r="AR84" s="449"/>
      <c r="AS84" s="449"/>
      <c r="AT84" s="453"/>
    </row>
    <row r="85" spans="1:46" s="422" customFormat="1" ht="20.100000000000001" customHeight="1" x14ac:dyDescent="0.3">
      <c r="A85" s="417" t="s">
        <v>252</v>
      </c>
      <c r="B85" s="399">
        <v>17266.331000000002</v>
      </c>
      <c r="C85" s="397">
        <f>SUM(C81:C84)</f>
        <v>19030.607</v>
      </c>
      <c r="D85" s="397">
        <f>IF(B85=0, "    ---- ", IF(ABS(ROUND(100/B85*C85-100,1))&lt;999,ROUND(100/B85*C85-100,1),IF(ROUND(100/B85*C85-100,1)&gt;999,999,-999)))</f>
        <v>10.199999999999999</v>
      </c>
      <c r="E85" s="399">
        <v>78277.486999999994</v>
      </c>
      <c r="F85" s="397">
        <f>SUM(F81:F84)</f>
        <v>89715.002026679998</v>
      </c>
      <c r="G85" s="397">
        <f t="shared" si="14"/>
        <v>14.6</v>
      </c>
      <c r="H85" s="399">
        <v>3320</v>
      </c>
      <c r="I85" s="397">
        <f>SUM(I81:I84)</f>
        <v>3826.7869999999998</v>
      </c>
      <c r="J85" s="397">
        <f>IF(H85=0, "    ---- ", IF(ABS(ROUND(100/H85*I85-100,1))&lt;999,ROUND(100/H85*I85-100,1),IF(ROUND(100/H85*I85-100,1)&gt;999,999,-999)))</f>
        <v>15.3</v>
      </c>
      <c r="K85" s="399">
        <f>SUM(K81:K84)</f>
        <v>23905</v>
      </c>
      <c r="L85" s="397">
        <f>SUM(L81:L84)</f>
        <v>27221.3</v>
      </c>
      <c r="M85" s="381">
        <f>IF(K85=0, "    ---- ", IF(ABS(ROUND(100/K85*L85-100,1))&lt;999,ROUND(100/K85*L85-100,1),IF(ROUND(100/K85*L85-100,1)&gt;999,999,-999)))</f>
        <v>13.9</v>
      </c>
      <c r="N85" s="399"/>
      <c r="O85" s="397"/>
      <c r="P85" s="335"/>
      <c r="Q85" s="399">
        <v>2451.0958211500001</v>
      </c>
      <c r="R85" s="397">
        <f>SUM(R81:R84)</f>
        <v>2587.2191831500004</v>
      </c>
      <c r="S85" s="335">
        <f t="shared" si="34"/>
        <v>5.6</v>
      </c>
      <c r="T85" s="585">
        <v>3075.1400000000003</v>
      </c>
      <c r="U85" s="397">
        <f>SUM(U81:U84)</f>
        <v>4242.2249999999995</v>
      </c>
      <c r="V85" s="335">
        <f>IF(T85=0, "    ---- ", IF(ABS(ROUND(100/T85*U85-100,1))&lt;999,ROUND(100/T85*U85-100,1),IF(ROUND(100/T85*U85-100,1)&gt;999,999,-999)))</f>
        <v>38</v>
      </c>
      <c r="W85" s="399">
        <v>60641.55</v>
      </c>
      <c r="X85" s="397">
        <f>SUM(X81:X84)</f>
        <v>68352.09</v>
      </c>
      <c r="Y85" s="335">
        <f t="shared" si="21"/>
        <v>12.7</v>
      </c>
      <c r="Z85" s="399">
        <v>0</v>
      </c>
      <c r="AA85" s="397">
        <f>SUM(AA81:AA84)</f>
        <v>0</v>
      </c>
      <c r="AB85" s="335"/>
      <c r="AC85" s="399">
        <v>2164</v>
      </c>
      <c r="AD85" s="397">
        <f>SUM(AD81:AD84)</f>
        <v>2307.6934400700002</v>
      </c>
      <c r="AE85" s="397">
        <f>IF(AC85=0, "    ---- ", IF(ABS(ROUND(100/AC85*AD85-100,1))&lt;999,ROUND(100/AC85*AD85-100,1),IF(ROUND(100/AC85*AD85-100,1)&gt;999,999,-999)))</f>
        <v>6.6</v>
      </c>
      <c r="AF85" s="399">
        <f>SUM(AF81:AF84)</f>
        <v>28010.271000000001</v>
      </c>
      <c r="AG85" s="397">
        <f>SUM(AG81:AG84)</f>
        <v>32198.913999999997</v>
      </c>
      <c r="AH85" s="335">
        <f t="shared" si="16"/>
        <v>15</v>
      </c>
      <c r="AI85" s="585">
        <f>SUM(AI81:AI84)</f>
        <v>93649</v>
      </c>
      <c r="AJ85" s="397">
        <f>SUM(AJ81:AJ84)</f>
        <v>103811</v>
      </c>
      <c r="AK85" s="335">
        <f t="shared" si="22"/>
        <v>10.9</v>
      </c>
      <c r="AL85" s="383">
        <f t="shared" si="35"/>
        <v>310595.87482114998</v>
      </c>
      <c r="AM85" s="383">
        <f t="shared" si="35"/>
        <v>350985.14420982997</v>
      </c>
      <c r="AN85" s="335">
        <f t="shared" si="18"/>
        <v>13</v>
      </c>
      <c r="AO85" s="383">
        <f t="shared" si="36"/>
        <v>312759.87482114998</v>
      </c>
      <c r="AP85" s="383">
        <f t="shared" si="36"/>
        <v>353292.8376499</v>
      </c>
      <c r="AQ85" s="398">
        <f t="shared" si="20"/>
        <v>13</v>
      </c>
      <c r="AR85" s="449"/>
      <c r="AS85" s="449"/>
      <c r="AT85" s="453"/>
    </row>
    <row r="86" spans="1:46" s="422" customFormat="1" ht="20.100000000000001" customHeight="1" x14ac:dyDescent="0.3">
      <c r="A86" s="416" t="s">
        <v>253</v>
      </c>
      <c r="B86" s="399">
        <v>23.765999999999998</v>
      </c>
      <c r="C86" s="397">
        <v>28.922000000000001</v>
      </c>
      <c r="D86" s="335">
        <f>IF(B86=0, "    ---- ", IF(ABS(ROUND(100/B86*C86-100,1))&lt;999,ROUND(100/B86*C86-100,1),IF(ROUND(100/B86*C86-100,1)&gt;999,999,-999)))</f>
        <v>21.7</v>
      </c>
      <c r="E86" s="399">
        <v>1078.912</v>
      </c>
      <c r="F86" s="397">
        <v>1266.1579999999999</v>
      </c>
      <c r="G86" s="335">
        <f t="shared" si="14"/>
        <v>17.399999999999999</v>
      </c>
      <c r="H86" s="399">
        <v>77</v>
      </c>
      <c r="I86" s="397">
        <v>34.331000000000003</v>
      </c>
      <c r="J86" s="335">
        <f>IF(H86=0, "    ---- ", IF(ABS(ROUND(100/H86*I86-100,1))&lt;999,ROUND(100/H86*I86-100,1),IF(ROUND(100/H86*I86-100,1)&gt;999,999,-999)))</f>
        <v>-55.4</v>
      </c>
      <c r="K86" s="399">
        <v>40</v>
      </c>
      <c r="L86" s="397">
        <v>71.2</v>
      </c>
      <c r="M86" s="335">
        <f>IF(K86=0, "    ---- ", IF(ABS(ROUND(100/K86*L86-100,1))&lt;999,ROUND(100/K86*L86-100,1),IF(ROUND(100/K86*L86-100,1)&gt;999,999,-999)))</f>
        <v>78</v>
      </c>
      <c r="N86" s="399">
        <v>1</v>
      </c>
      <c r="O86" s="397"/>
      <c r="P86" s="335">
        <f>IF(N86=0, "    ---- ", IF(ABS(ROUND(100/N86*O86-100,1))&lt;999,ROUND(100/N86*O86-100,1),IF(ROUND(100/N86*O86-100,1)&gt;999,999,-999)))</f>
        <v>-100</v>
      </c>
      <c r="Q86" s="399">
        <v>1139.72387078</v>
      </c>
      <c r="R86" s="397">
        <v>1892.4209948900002</v>
      </c>
      <c r="S86" s="335">
        <f t="shared" si="34"/>
        <v>66</v>
      </c>
      <c r="T86" s="585">
        <v>8.2230000000000008</v>
      </c>
      <c r="U86" s="397">
        <v>9.8960000000000008</v>
      </c>
      <c r="V86" s="335">
        <f>IF(T86=0, "    ---- ", IF(ABS(ROUND(100/T86*U86-100,1))&lt;999,ROUND(100/T86*U86-100,1),IF(ROUND(100/T86*U86-100,1)&gt;999,999,-999)))</f>
        <v>20.3</v>
      </c>
      <c r="W86" s="399">
        <v>528.1584471306071</v>
      </c>
      <c r="X86" s="397">
        <v>824.31</v>
      </c>
      <c r="Y86" s="335">
        <f t="shared" si="21"/>
        <v>56.1</v>
      </c>
      <c r="Z86" s="399"/>
      <c r="AA86" s="397"/>
      <c r="AB86" s="335" t="str">
        <f>IF(Z86=0, "    ---- ", IF(ABS(ROUND(100/Z86*AA86-100,1))&lt;999,ROUND(100/Z86*AA86-100,1),IF(ROUND(100/Z86*AA86-100,1)&gt;999,999,-999)))</f>
        <v xml:space="preserve">    ---- </v>
      </c>
      <c r="AC86" s="399"/>
      <c r="AD86" s="397"/>
      <c r="AE86" s="335"/>
      <c r="AF86" s="399">
        <v>925.39300000000003</v>
      </c>
      <c r="AG86" s="397">
        <v>933.87</v>
      </c>
      <c r="AH86" s="335">
        <f t="shared" si="16"/>
        <v>0.9</v>
      </c>
      <c r="AI86" s="585">
        <v>41.6</v>
      </c>
      <c r="AJ86" s="397">
        <v>11.8</v>
      </c>
      <c r="AK86" s="335">
        <f t="shared" si="22"/>
        <v>-71.599999999999994</v>
      </c>
      <c r="AL86" s="383">
        <f t="shared" si="35"/>
        <v>3862.7763179106073</v>
      </c>
      <c r="AM86" s="383">
        <f t="shared" si="35"/>
        <v>5072.9079948899998</v>
      </c>
      <c r="AN86" s="335">
        <f t="shared" si="18"/>
        <v>31.3</v>
      </c>
      <c r="AO86" s="383">
        <f t="shared" si="36"/>
        <v>3863.7763179106073</v>
      </c>
      <c r="AP86" s="383">
        <f t="shared" si="36"/>
        <v>5072.9079948899998</v>
      </c>
      <c r="AQ86" s="398">
        <f t="shared" si="20"/>
        <v>31.3</v>
      </c>
      <c r="AR86" s="449"/>
      <c r="AS86" s="449"/>
      <c r="AT86" s="453"/>
    </row>
    <row r="87" spans="1:46" s="422" customFormat="1" ht="20.100000000000001" customHeight="1" x14ac:dyDescent="0.3">
      <c r="A87" s="416" t="s">
        <v>254</v>
      </c>
      <c r="B87" s="399"/>
      <c r="C87" s="397"/>
      <c r="D87" s="335"/>
      <c r="E87" s="399"/>
      <c r="F87" s="397"/>
      <c r="G87" s="335"/>
      <c r="H87" s="399"/>
      <c r="I87" s="397"/>
      <c r="J87" s="335"/>
      <c r="K87" s="399"/>
      <c r="L87" s="397"/>
      <c r="M87" s="335"/>
      <c r="N87" s="399"/>
      <c r="O87" s="397"/>
      <c r="P87" s="335"/>
      <c r="Q87" s="399"/>
      <c r="R87" s="397">
        <v>0</v>
      </c>
      <c r="S87" s="335"/>
      <c r="T87" s="585"/>
      <c r="U87" s="397"/>
      <c r="V87" s="335"/>
      <c r="W87" s="399">
        <v>0</v>
      </c>
      <c r="X87" s="397">
        <v>0</v>
      </c>
      <c r="Y87" s="335"/>
      <c r="Z87" s="399"/>
      <c r="AA87" s="397"/>
      <c r="AB87" s="335"/>
      <c r="AC87" s="399"/>
      <c r="AD87" s="397"/>
      <c r="AE87" s="335"/>
      <c r="AF87" s="399">
        <v>278.49299999999999</v>
      </c>
      <c r="AG87" s="397">
        <v>356.286</v>
      </c>
      <c r="AH87" s="335">
        <f t="shared" si="16"/>
        <v>27.9</v>
      </c>
      <c r="AI87" s="585"/>
      <c r="AJ87" s="397"/>
      <c r="AK87" s="335"/>
      <c r="AL87" s="383">
        <f t="shared" si="35"/>
        <v>278.49299999999999</v>
      </c>
      <c r="AM87" s="383">
        <f t="shared" si="35"/>
        <v>356.286</v>
      </c>
      <c r="AN87" s="335">
        <f t="shared" si="18"/>
        <v>27.9</v>
      </c>
      <c r="AO87" s="383">
        <f t="shared" si="36"/>
        <v>278.49299999999999</v>
      </c>
      <c r="AP87" s="383">
        <f t="shared" si="36"/>
        <v>356.286</v>
      </c>
      <c r="AQ87" s="398">
        <f t="shared" si="20"/>
        <v>27.9</v>
      </c>
      <c r="AR87" s="449"/>
      <c r="AS87" s="449"/>
      <c r="AT87" s="453"/>
    </row>
    <row r="88" spans="1:46" s="422" customFormat="1" ht="20.100000000000001" customHeight="1" x14ac:dyDescent="0.3">
      <c r="A88" s="416" t="s">
        <v>255</v>
      </c>
      <c r="B88" s="399">
        <v>82.429000000000002</v>
      </c>
      <c r="C88" s="397">
        <v>92.126000000000005</v>
      </c>
      <c r="D88" s="397">
        <f>IF(B88=0, "    ---- ", IF(ABS(ROUND(100/B88*C88-100,1))&lt;999,ROUND(100/B88*C88-100,1),IF(ROUND(100/B88*C88-100,1)&gt;999,999,-999)))</f>
        <v>11.8</v>
      </c>
      <c r="E88" s="399">
        <v>1411.001</v>
      </c>
      <c r="F88" s="397">
        <f>1243.76+395.834</f>
        <v>1639.5940000000001</v>
      </c>
      <c r="G88" s="397">
        <f t="shared" si="14"/>
        <v>16.2</v>
      </c>
      <c r="H88" s="399"/>
      <c r="I88" s="397"/>
      <c r="J88" s="397"/>
      <c r="K88" s="399">
        <v>148</v>
      </c>
      <c r="L88" s="397">
        <v>110</v>
      </c>
      <c r="M88" s="381">
        <f>IF(K88=0, "    ---- ", IF(ABS(ROUND(100/K88*L88-100,1))&lt;999,ROUND(100/K88*L88-100,1),IF(ROUND(100/K88*L88-100,1)&gt;999,999,-999)))</f>
        <v>-25.7</v>
      </c>
      <c r="N88" s="399">
        <v>9</v>
      </c>
      <c r="O88" s="397">
        <v>2.5356956799999999</v>
      </c>
      <c r="P88" s="335">
        <f>IF(N88=0, "    ---- ", IF(ABS(ROUND(100/N88*O88-100,1))&lt;999,ROUND(100/N88*O88-100,1),IF(ROUND(100/N88*O88-100,1)&gt;999,999,-999)))</f>
        <v>-71.8</v>
      </c>
      <c r="Q88" s="399">
        <v>6143.9273821499992</v>
      </c>
      <c r="R88" s="397">
        <v>7641.3837590800003</v>
      </c>
      <c r="S88" s="335">
        <f t="shared" si="34"/>
        <v>24.4</v>
      </c>
      <c r="T88" s="585">
        <v>55.582000000000001</v>
      </c>
      <c r="U88" s="397">
        <v>11.255000000000001</v>
      </c>
      <c r="V88" s="335">
        <f>IF(T88=0, "    ---- ", IF(ABS(ROUND(100/T88*U88-100,1))&lt;999,ROUND(100/T88*U88-100,1),IF(ROUND(100/T88*U88-100,1)&gt;999,999,-999)))</f>
        <v>-79.8</v>
      </c>
      <c r="W88" s="399">
        <v>186.13</v>
      </c>
      <c r="X88" s="397">
        <v>312.73</v>
      </c>
      <c r="Y88" s="335">
        <f t="shared" si="21"/>
        <v>68</v>
      </c>
      <c r="Z88" s="399">
        <v>1422</v>
      </c>
      <c r="AA88" s="397">
        <f>1124+359+72+1</f>
        <v>1556</v>
      </c>
      <c r="AB88" s="335">
        <f>IF(Z88=0, "    ---- ", IF(ABS(ROUND(100/Z88*AA88-100,1))&lt;999,ROUND(100/Z88*AA88-100,1),IF(ROUND(100/Z88*AA88-100,1)&gt;999,999,-999)))</f>
        <v>9.4</v>
      </c>
      <c r="AC88" s="399">
        <v>6</v>
      </c>
      <c r="AD88" s="397">
        <v>12.19713829</v>
      </c>
      <c r="AE88" s="335">
        <f>IF(AC88=0, "    ---- ", IF(ABS(ROUND(100/AC88*AD88-100,1))&lt;999,ROUND(100/AC88*AD88-100,1),IF(ROUND(100/AC88*AD88-100,1)&gt;999,999,-999)))</f>
        <v>103.3</v>
      </c>
      <c r="AF88" s="399">
        <v>467.28100000000001</v>
      </c>
      <c r="AG88" s="397">
        <v>412.50400000000002</v>
      </c>
      <c r="AH88" s="335">
        <f t="shared" si="16"/>
        <v>-11.7</v>
      </c>
      <c r="AI88" s="585">
        <v>2668.8</v>
      </c>
      <c r="AJ88" s="397">
        <v>6226.6</v>
      </c>
      <c r="AK88" s="335">
        <f t="shared" si="22"/>
        <v>133.30000000000001</v>
      </c>
      <c r="AL88" s="383">
        <f t="shared" si="35"/>
        <v>12585.150382150001</v>
      </c>
      <c r="AM88" s="383">
        <f t="shared" si="35"/>
        <v>18002.192759080001</v>
      </c>
      <c r="AN88" s="335">
        <f t="shared" si="18"/>
        <v>43</v>
      </c>
      <c r="AO88" s="383">
        <f t="shared" si="36"/>
        <v>12600.150382150001</v>
      </c>
      <c r="AP88" s="383">
        <f t="shared" si="36"/>
        <v>18016.92559305</v>
      </c>
      <c r="AQ88" s="398">
        <f t="shared" si="20"/>
        <v>43</v>
      </c>
      <c r="AR88" s="449"/>
      <c r="AS88" s="449"/>
      <c r="AT88" s="453"/>
    </row>
    <row r="89" spans="1:46" s="422" customFormat="1" ht="20.100000000000001" customHeight="1" x14ac:dyDescent="0.3">
      <c r="A89" s="416" t="s">
        <v>256</v>
      </c>
      <c r="B89" s="399">
        <v>25.539000000000001</v>
      </c>
      <c r="C89" s="397">
        <v>35.533999999999999</v>
      </c>
      <c r="D89" s="397">
        <f>IF(B89=0, "    ---- ", IF(ABS(ROUND(100/B89*C89-100,1))&lt;999,ROUND(100/B89*C89-100,1),IF(ROUND(100/B89*C89-100,1)&gt;999,999,-999)))</f>
        <v>39.1</v>
      </c>
      <c r="E89" s="399">
        <v>186.76300000000001</v>
      </c>
      <c r="F89" s="397">
        <v>144.505</v>
      </c>
      <c r="G89" s="397">
        <f t="shared" si="14"/>
        <v>-22.6</v>
      </c>
      <c r="H89" s="399">
        <v>5</v>
      </c>
      <c r="I89" s="397">
        <v>12.712999999999999</v>
      </c>
      <c r="J89" s="397">
        <f>IF(H89=0, "    ---- ", IF(ABS(ROUND(100/H89*I89-100,1))&lt;999,ROUND(100/H89*I89-100,1),IF(ROUND(100/H89*I89-100,1)&gt;999,999,-999)))</f>
        <v>154.30000000000001</v>
      </c>
      <c r="K89" s="399">
        <v>13</v>
      </c>
      <c r="L89" s="397">
        <v>16.8</v>
      </c>
      <c r="M89" s="335">
        <f>IF(K89=0, "    ---- ", IF(ABS(ROUND(100/K89*L89-100,1))&lt;999,ROUND(100/K89*L89-100,1),IF(ROUND(100/K89*L89-100,1)&gt;999,999,-999)))</f>
        <v>29.2</v>
      </c>
      <c r="N89" s="399">
        <v>1</v>
      </c>
      <c r="O89" s="397">
        <v>0.90359171999999999</v>
      </c>
      <c r="P89" s="335">
        <f>IF(N89=0, "    ---- ", IF(ABS(ROUND(100/N89*O89-100,1))&lt;999,ROUND(100/N89*O89-100,1),IF(ROUND(100/N89*O89-100,1)&gt;999,999,-999)))</f>
        <v>-9.6</v>
      </c>
      <c r="Q89" s="399">
        <v>87.61120987000001</v>
      </c>
      <c r="R89" s="397">
        <v>100.48413934999999</v>
      </c>
      <c r="S89" s="335">
        <f t="shared" si="34"/>
        <v>14.7</v>
      </c>
      <c r="T89" s="585">
        <v>9.9149999999999991</v>
      </c>
      <c r="U89" s="397">
        <v>9.5820000000000007</v>
      </c>
      <c r="V89" s="335">
        <f>IF(T89=0, "    ---- ", IF(ABS(ROUND(100/T89*U89-100,1))&lt;999,ROUND(100/T89*U89-100,1),IF(ROUND(100/T89*U89-100,1)&gt;999,999,-999)))</f>
        <v>-3.4</v>
      </c>
      <c r="W89" s="399">
        <v>52.03</v>
      </c>
      <c r="X89" s="397">
        <v>38.43</v>
      </c>
      <c r="Y89" s="335">
        <f t="shared" si="21"/>
        <v>-26.1</v>
      </c>
      <c r="Z89" s="399"/>
      <c r="AA89" s="397"/>
      <c r="AB89" s="335" t="str">
        <f>IF(Z89=0, "    ---- ", IF(ABS(ROUND(100/Z89*AA89-100,1))&lt;999,ROUND(100/Z89*AA89-100,1),IF(ROUND(100/Z89*AA89-100,1)&gt;999,999,-999)))</f>
        <v xml:space="preserve">    ---- </v>
      </c>
      <c r="AC89" s="399"/>
      <c r="AD89" s="397"/>
      <c r="AE89" s="335"/>
      <c r="AF89" s="399">
        <v>100.94499999999999</v>
      </c>
      <c r="AG89" s="397">
        <v>137.24100000000001</v>
      </c>
      <c r="AH89" s="335">
        <f t="shared" si="16"/>
        <v>36</v>
      </c>
      <c r="AI89" s="585">
        <v>128.4</v>
      </c>
      <c r="AJ89" s="397">
        <v>152</v>
      </c>
      <c r="AK89" s="335">
        <f t="shared" si="22"/>
        <v>18.399999999999999</v>
      </c>
      <c r="AL89" s="383">
        <f t="shared" si="35"/>
        <v>609.20320987000014</v>
      </c>
      <c r="AM89" s="383">
        <f t="shared" si="35"/>
        <v>647.28913935000003</v>
      </c>
      <c r="AN89" s="335">
        <f t="shared" si="18"/>
        <v>6.3</v>
      </c>
      <c r="AO89" s="383">
        <f t="shared" si="36"/>
        <v>610.20320987000014</v>
      </c>
      <c r="AP89" s="383">
        <f t="shared" si="36"/>
        <v>648.19273107000004</v>
      </c>
      <c r="AQ89" s="398">
        <f t="shared" si="20"/>
        <v>6.2</v>
      </c>
      <c r="AR89" s="449"/>
      <c r="AS89" s="449"/>
      <c r="AT89" s="453"/>
    </row>
    <row r="90" spans="1:46" s="422" customFormat="1" ht="20.100000000000001" customHeight="1" x14ac:dyDescent="0.3">
      <c r="A90" s="416"/>
      <c r="B90" s="399"/>
      <c r="C90" s="397"/>
      <c r="D90" s="335"/>
      <c r="E90" s="399"/>
      <c r="F90" s="397"/>
      <c r="G90" s="335"/>
      <c r="H90" s="399"/>
      <c r="I90" s="397"/>
      <c r="J90" s="335"/>
      <c r="K90" s="399"/>
      <c r="L90" s="397"/>
      <c r="M90" s="335"/>
      <c r="N90" s="399"/>
      <c r="O90" s="397"/>
      <c r="P90" s="335"/>
      <c r="Q90" s="399"/>
      <c r="R90" s="397"/>
      <c r="S90" s="335"/>
      <c r="T90" s="585"/>
      <c r="U90" s="397"/>
      <c r="V90" s="335"/>
      <c r="W90" s="399"/>
      <c r="X90" s="397"/>
      <c r="Y90" s="335"/>
      <c r="Z90" s="399"/>
      <c r="AA90" s="397"/>
      <c r="AB90" s="335"/>
      <c r="AC90" s="399"/>
      <c r="AD90" s="397"/>
      <c r="AE90" s="335"/>
      <c r="AF90" s="399"/>
      <c r="AG90" s="397"/>
      <c r="AH90" s="335"/>
      <c r="AI90" s="585"/>
      <c r="AJ90" s="397"/>
      <c r="AK90" s="335"/>
      <c r="AL90" s="383"/>
      <c r="AM90" s="383"/>
      <c r="AN90" s="335"/>
      <c r="AO90" s="383"/>
      <c r="AP90" s="383"/>
      <c r="AQ90" s="398"/>
      <c r="AR90" s="449"/>
      <c r="AS90" s="449"/>
      <c r="AT90" s="453"/>
    </row>
    <row r="91" spans="1:46" s="457" customFormat="1" ht="20.100000000000001" customHeight="1" x14ac:dyDescent="0.3">
      <c r="A91" s="419" t="s">
        <v>257</v>
      </c>
      <c r="B91" s="407">
        <v>18929.473000000002</v>
      </c>
      <c r="C91" s="405">
        <f>SUM(C68+C69+C71+C79+C85+C86+C87+C88+C89)</f>
        <v>20927.868999999999</v>
      </c>
      <c r="D91" s="406">
        <f>IF(B91=0, "    ---- ", IF(ABS(ROUND(100/B91*C91-100,1))&lt;999,ROUND(100/B91*C91-100,1),IF(ROUND(100/B91*C91-100,1)&gt;999,999,-999)))</f>
        <v>10.6</v>
      </c>
      <c r="E91" s="407">
        <v>317836.87299999991</v>
      </c>
      <c r="F91" s="405">
        <f>SUM(F68+F69+F71+F79+F85+F86+F87+F88+F89)</f>
        <v>329166.71934457996</v>
      </c>
      <c r="G91" s="406">
        <f t="shared" si="14"/>
        <v>3.6</v>
      </c>
      <c r="H91" s="407">
        <v>4905.6000000000004</v>
      </c>
      <c r="I91" s="405">
        <f>SUM(I68+I69+I71+I79+I85+I86+I87+I88+I89)</f>
        <v>5604.2420000000002</v>
      </c>
      <c r="J91" s="406">
        <f>IF(H91=0, "    ---- ", IF(ABS(ROUND(100/H91*I91-100,1))&lt;999,ROUND(100/H91*I91-100,1),IF(ROUND(100/H91*I91-100,1)&gt;999,999,-999)))</f>
        <v>14.2</v>
      </c>
      <c r="K91" s="407">
        <f>SUM(K68+K69+K71+K79+K85+K86+K87+K88+K89)</f>
        <v>31527</v>
      </c>
      <c r="L91" s="405">
        <f>SUM(L68+L69+L71+L79+L85+L86+L87+L88+L89)</f>
        <v>35489.199999999997</v>
      </c>
      <c r="M91" s="406">
        <f>IF(K91=0, "    ---- ", IF(ABS(ROUND(100/K91*L91-100,1))&lt;999,ROUND(100/K91*L91-100,1),IF(ROUND(100/K91*L91-100,1)&gt;999,999,-999)))</f>
        <v>12.6</v>
      </c>
      <c r="N91" s="407">
        <v>145</v>
      </c>
      <c r="O91" s="405">
        <f>SUM(O68+O69+O71+O79+O85+O86+O87+O88+O89)</f>
        <v>147.51286434000002</v>
      </c>
      <c r="P91" s="406">
        <f>IF(N91=0, "    ---- ", IF(ABS(ROUND(100/N91*O91-100,1))&lt;999,ROUND(100/N91*O91-100,1),IF(ROUND(100/N91*O91-100,1)&gt;999,999,-999)))</f>
        <v>1.7</v>
      </c>
      <c r="Q91" s="407">
        <v>552583.50935141987</v>
      </c>
      <c r="R91" s="405">
        <f>SUM(R68+R69+R71+R79+R85+R86+R87+R88+R89)</f>
        <v>594584.44974732015</v>
      </c>
      <c r="S91" s="406">
        <f t="shared" si="34"/>
        <v>7.6</v>
      </c>
      <c r="T91" s="589">
        <v>5344.2820000000002</v>
      </c>
      <c r="U91" s="405">
        <f>SUM(U68+U69+U71+U79+U85+U86+U87+U88+U89)</f>
        <v>6510.3239999999996</v>
      </c>
      <c r="V91" s="406">
        <f>IF(T91=0, "    ---- ", IF(ABS(ROUND(100/T91*U91-100,1))&lt;999,ROUND(100/T91*U91-100,1),IF(ROUND(100/T91*U91-100,1)&gt;999,999,-999)))</f>
        <v>21.8</v>
      </c>
      <c r="W91" s="407">
        <v>121511.15844713061</v>
      </c>
      <c r="X91" s="405">
        <f>SUM(X68+X69+X71+X79+X85+X86+X87+X88+X89)</f>
        <v>131027.68199999999</v>
      </c>
      <c r="Y91" s="406">
        <f t="shared" si="21"/>
        <v>7.8</v>
      </c>
      <c r="Z91" s="407">
        <v>93703</v>
      </c>
      <c r="AA91" s="405">
        <f>SUM(AA68+AA69+AA71+AA79+AA85+AA86+AA87+AA88+AA89)</f>
        <v>100589</v>
      </c>
      <c r="AB91" s="406">
        <f>IF(Z91=0, "    ---- ", IF(ABS(ROUND(100/Z91*AA91-100,1))&lt;999,ROUND(100/Z91*AA91-100,1),IF(ROUND(100/Z91*AA91-100,1)&gt;999,999,-999)))</f>
        <v>7.3</v>
      </c>
      <c r="AC91" s="407">
        <v>2218</v>
      </c>
      <c r="AD91" s="405">
        <f>SUM(AD68+AD69+AD71+AD79+AD85+AD86+AD87+AD88+AD89)</f>
        <v>2378.6259091000002</v>
      </c>
      <c r="AE91" s="406">
        <f>IF(AC91=0, "    ---- ", IF(ABS(ROUND(100/AC91*AD91-100,1))&lt;999,ROUND(100/AC91*AD91-100,1),IF(ROUND(100/AC91*AD91-100,1)&gt;999,999,-999)))</f>
        <v>7.2</v>
      </c>
      <c r="AF91" s="407">
        <f>SUM(AF68+AF69+AF71+AF79+AF85+AF86+AF87+AF88+AF89)</f>
        <v>57959.797741220005</v>
      </c>
      <c r="AG91" s="405">
        <f>SUM(AG68+AG69+AG71+AG79+AG85+AG86+AG87+AG88+AG89)</f>
        <v>65261.601188040004</v>
      </c>
      <c r="AH91" s="406">
        <f t="shared" si="16"/>
        <v>12.6</v>
      </c>
      <c r="AI91" s="589">
        <f>SUM(AI68+AI69+AI71+AI79+AI85+AI86+AI87+AI88+AI89)</f>
        <v>317514.39999999997</v>
      </c>
      <c r="AJ91" s="405">
        <f>SUM(AJ68+AJ69+AJ71+AJ79+AJ85+AJ86+AJ87+AJ88+AJ89)</f>
        <v>333560.39999999997</v>
      </c>
      <c r="AK91" s="406">
        <f t="shared" si="22"/>
        <v>5.0999999999999996</v>
      </c>
      <c r="AL91" s="408">
        <f>B91+E91+H91+K91+Q91+T91+W91+Z91+AF91+AI91</f>
        <v>1521815.0935397705</v>
      </c>
      <c r="AM91" s="408">
        <f>C91+F91+I91+L91+R91+U91+X91+AA91+AG91+AJ91</f>
        <v>1622721.4872799402</v>
      </c>
      <c r="AN91" s="406">
        <f t="shared" si="18"/>
        <v>6.6</v>
      </c>
      <c r="AO91" s="409">
        <f>B91+E91+H91+K91+N91+Q91+T91+W91+Z91+AC91+AF91+AI91</f>
        <v>1524178.0935397705</v>
      </c>
      <c r="AP91" s="409">
        <f>C91+F91+I91+L91+O91+R91+U91+X91+AA91+AD91+AG91+AJ91</f>
        <v>1625247.6260533803</v>
      </c>
      <c r="AQ91" s="410">
        <f t="shared" si="20"/>
        <v>6.6</v>
      </c>
      <c r="AR91" s="455"/>
      <c r="AS91" s="449"/>
      <c r="AT91" s="453"/>
    </row>
    <row r="92" spans="1:46" ht="18.75" customHeight="1" x14ac:dyDescent="0.3">
      <c r="A92" s="420" t="s">
        <v>258</v>
      </c>
      <c r="B92" s="420"/>
      <c r="Q92" s="420"/>
      <c r="R92" s="422"/>
      <c r="X92" s="423"/>
      <c r="Y92" s="423"/>
      <c r="Z92" s="423"/>
      <c r="AA92" s="423"/>
      <c r="AB92" s="423"/>
      <c r="AC92" s="423"/>
      <c r="AD92" s="423"/>
      <c r="AE92" s="423"/>
      <c r="AF92" s="420"/>
      <c r="AI92" s="420"/>
    </row>
    <row r="93" spans="1:46" ht="18.75" customHeight="1" x14ac:dyDescent="0.3">
      <c r="A93" s="420" t="s">
        <v>259</v>
      </c>
      <c r="Q93" s="420"/>
      <c r="R93" s="422"/>
      <c r="X93" s="423"/>
      <c r="Y93" s="423"/>
      <c r="Z93" s="423"/>
      <c r="AA93" s="423"/>
      <c r="AB93" s="423"/>
      <c r="AC93" s="423"/>
      <c r="AD93" s="423"/>
      <c r="AE93" s="423"/>
      <c r="AF93" s="420"/>
      <c r="AI93" s="420"/>
    </row>
    <row r="94" spans="1:46" s="424" customFormat="1" ht="18.75" customHeight="1" x14ac:dyDescent="0.3">
      <c r="A94" s="420" t="s">
        <v>260</v>
      </c>
      <c r="Q94" s="420"/>
      <c r="R94" s="420"/>
      <c r="Y94" s="425"/>
      <c r="Z94" s="425"/>
      <c r="AA94" s="425"/>
      <c r="AB94" s="425"/>
      <c r="AC94" s="425"/>
      <c r="AD94" s="425"/>
      <c r="AE94" s="425"/>
      <c r="AR94" s="458"/>
      <c r="AS94" s="458"/>
    </row>
    <row r="95" spans="1:46" s="424" customFormat="1" ht="18.75" x14ac:dyDescent="0.3">
      <c r="Q95" s="420"/>
      <c r="R95" s="420"/>
      <c r="AR95" s="458"/>
      <c r="AS95" s="458"/>
    </row>
    <row r="96" spans="1:46" s="424" customFormat="1" ht="18.75" x14ac:dyDescent="0.3">
      <c r="Q96" s="420"/>
      <c r="R96" s="420"/>
    </row>
    <row r="97" spans="17:18" s="424" customFormat="1" ht="18.75" x14ac:dyDescent="0.3">
      <c r="Q97" s="420"/>
      <c r="R97" s="420"/>
    </row>
    <row r="98" spans="17:18" s="424" customFormat="1" ht="18.75" x14ac:dyDescent="0.3">
      <c r="Q98" s="420"/>
      <c r="R98" s="420"/>
    </row>
    <row r="99" spans="17:18" s="424" customFormat="1" ht="18.75" x14ac:dyDescent="0.3">
      <c r="Q99" s="420"/>
      <c r="R99" s="420"/>
    </row>
    <row r="100" spans="17:18" s="424" customFormat="1" ht="18.75" x14ac:dyDescent="0.3">
      <c r="Q100" s="420"/>
      <c r="R100" s="420"/>
    </row>
    <row r="101" spans="17:18" s="424" customFormat="1" ht="18.75" x14ac:dyDescent="0.3">
      <c r="Q101" s="420"/>
      <c r="R101" s="420"/>
    </row>
    <row r="102" spans="17:18" s="424" customFormat="1" ht="18.75" x14ac:dyDescent="0.3">
      <c r="Q102" s="420"/>
      <c r="R102" s="420"/>
    </row>
    <row r="103" spans="17:18" s="424" customFormat="1" ht="18.75" x14ac:dyDescent="0.3">
      <c r="Q103" s="420"/>
      <c r="R103" s="420"/>
    </row>
    <row r="104" spans="17:18" s="424" customFormat="1" ht="18.75" x14ac:dyDescent="0.3">
      <c r="Q104" s="420"/>
      <c r="R104" s="420"/>
    </row>
    <row r="105" spans="17:18" s="424" customFormat="1" ht="18.75" x14ac:dyDescent="0.3">
      <c r="Q105" s="420"/>
      <c r="R105" s="420"/>
    </row>
    <row r="106" spans="17:18" s="424" customFormat="1" ht="18.75" x14ac:dyDescent="0.3">
      <c r="Q106" s="420"/>
      <c r="R106" s="420"/>
    </row>
    <row r="107" spans="17:18" s="424" customFormat="1" ht="18.75" x14ac:dyDescent="0.3">
      <c r="Q107" s="420"/>
      <c r="R107" s="420"/>
    </row>
    <row r="108" spans="17:18" s="424" customFormat="1" ht="18.75" x14ac:dyDescent="0.3">
      <c r="Q108" s="420"/>
      <c r="R108" s="420"/>
    </row>
    <row r="109" spans="17:18" s="424" customFormat="1" ht="18.75" x14ac:dyDescent="0.3">
      <c r="Q109" s="420"/>
      <c r="R109" s="420"/>
    </row>
    <row r="110" spans="17:18" s="424" customFormat="1" ht="18.75" x14ac:dyDescent="0.3">
      <c r="Q110" s="420"/>
      <c r="R110" s="420"/>
    </row>
    <row r="111" spans="17:18" s="460" customFormat="1" ht="15.75" x14ac:dyDescent="0.25">
      <c r="Q111" s="459"/>
      <c r="R111" s="459"/>
    </row>
    <row r="112" spans="17:18" s="460" customFormat="1" ht="15.75" x14ac:dyDescent="0.25">
      <c r="Q112" s="459"/>
      <c r="R112" s="459"/>
    </row>
    <row r="113" spans="17:18" x14ac:dyDescent="0.2">
      <c r="Q113" s="422"/>
      <c r="R113" s="422"/>
    </row>
    <row r="114" spans="17:18" x14ac:dyDescent="0.2">
      <c r="Q114" s="422"/>
      <c r="R114" s="422"/>
    </row>
    <row r="115" spans="17:18" x14ac:dyDescent="0.2">
      <c r="Q115" s="422"/>
      <c r="R115" s="422"/>
    </row>
    <row r="116" spans="17:18" x14ac:dyDescent="0.2">
      <c r="Q116" s="422"/>
      <c r="R116" s="422"/>
    </row>
    <row r="117" spans="17:18" x14ac:dyDescent="0.2">
      <c r="Q117" s="422"/>
      <c r="R117" s="422"/>
    </row>
    <row r="118" spans="17:18" x14ac:dyDescent="0.2">
      <c r="Q118" s="422"/>
      <c r="R118" s="422"/>
    </row>
    <row r="119" spans="17:18" x14ac:dyDescent="0.2">
      <c r="Q119" s="422"/>
      <c r="R119" s="422"/>
    </row>
    <row r="120" spans="17:18" x14ac:dyDescent="0.2">
      <c r="Q120" s="422"/>
      <c r="R120" s="422"/>
    </row>
    <row r="121" spans="17:18" x14ac:dyDescent="0.2">
      <c r="Q121" s="422"/>
      <c r="R121" s="422"/>
    </row>
    <row r="122" spans="17:18" x14ac:dyDescent="0.2">
      <c r="Q122" s="422"/>
      <c r="R122" s="422"/>
    </row>
    <row r="123" spans="17:18" x14ac:dyDescent="0.2">
      <c r="Q123" s="422"/>
      <c r="R123" s="422"/>
    </row>
    <row r="124" spans="17:18" x14ac:dyDescent="0.2">
      <c r="Q124" s="422"/>
      <c r="R124" s="422"/>
    </row>
    <row r="125" spans="17:18" x14ac:dyDescent="0.2">
      <c r="Q125" s="422"/>
      <c r="R125" s="422"/>
    </row>
    <row r="126" spans="17:18" x14ac:dyDescent="0.2">
      <c r="Q126" s="422"/>
      <c r="R126" s="422"/>
    </row>
    <row r="127" spans="17:18" x14ac:dyDescent="0.2">
      <c r="Q127" s="422"/>
      <c r="R127" s="422"/>
    </row>
    <row r="128" spans="17:18" x14ac:dyDescent="0.2">
      <c r="Q128" s="422"/>
      <c r="R128" s="422"/>
    </row>
    <row r="129" spans="17:18" x14ac:dyDescent="0.2">
      <c r="Q129" s="422"/>
      <c r="R129" s="422"/>
    </row>
    <row r="130" spans="17:18" x14ac:dyDescent="0.2">
      <c r="Q130" s="422"/>
      <c r="R130" s="422"/>
    </row>
  </sheetData>
  <mergeCells count="35">
    <mergeCell ref="BF6:BH6"/>
    <mergeCell ref="AF6:AH6"/>
    <mergeCell ref="AI6:AK6"/>
    <mergeCell ref="AL6:AN6"/>
    <mergeCell ref="AO6:AQ6"/>
    <mergeCell ref="AT6:AV6"/>
    <mergeCell ref="AW6:AY6"/>
    <mergeCell ref="B5:D5"/>
    <mergeCell ref="E5:G5"/>
    <mergeCell ref="AZ5:BB5"/>
    <mergeCell ref="BC5:BE5"/>
    <mergeCell ref="Q6:S6"/>
    <mergeCell ref="T6:V6"/>
    <mergeCell ref="W6:Y6"/>
    <mergeCell ref="Z6:AB6"/>
    <mergeCell ref="AC6:AE6"/>
    <mergeCell ref="AZ6:BB6"/>
    <mergeCell ref="BC6:BE6"/>
    <mergeCell ref="AT5:AV5"/>
    <mergeCell ref="AW5:AY5"/>
    <mergeCell ref="B6:D6"/>
    <mergeCell ref="E6:G6"/>
    <mergeCell ref="H6:J6"/>
    <mergeCell ref="K6:M6"/>
    <mergeCell ref="N6:P6"/>
    <mergeCell ref="H5:J5"/>
    <mergeCell ref="K5:M5"/>
    <mergeCell ref="N5:P5"/>
    <mergeCell ref="T5:V5"/>
    <mergeCell ref="BF5:BH5"/>
    <mergeCell ref="Z5:AB5"/>
    <mergeCell ref="AF5:AH5"/>
    <mergeCell ref="AI5:AK5"/>
    <mergeCell ref="AL5:AN5"/>
    <mergeCell ref="AO5:AQ5"/>
  </mergeCells>
  <conditionalFormatting sqref="AI35">
    <cfRule type="expression" dxfId="155" priority="271">
      <formula>#REF! ="35≠36+38"</formula>
    </cfRule>
  </conditionalFormatting>
  <conditionalFormatting sqref="AI39">
    <cfRule type="expression" dxfId="154" priority="272">
      <formula>#REF! ="39≠40+41+42+43+44"</formula>
    </cfRule>
  </conditionalFormatting>
  <conditionalFormatting sqref="AI45">
    <cfRule type="expression" dxfId="153" priority="273">
      <formula>#REF! ="45≠33+34+35+39"</formula>
    </cfRule>
  </conditionalFormatting>
  <conditionalFormatting sqref="AI50">
    <cfRule type="expression" dxfId="152" priority="274">
      <formula>#REF! ="50≠51+53"</formula>
    </cfRule>
  </conditionalFormatting>
  <conditionalFormatting sqref="AI54">
    <cfRule type="expression" dxfId="151" priority="275">
      <formula>#REF! ="54≠55+56+57+58+59"</formula>
    </cfRule>
  </conditionalFormatting>
  <conditionalFormatting sqref="AI60">
    <cfRule type="expression" dxfId="150" priority="276">
      <formula>#REF! ="60≠48+49+50+54"</formula>
    </cfRule>
  </conditionalFormatting>
  <conditionalFormatting sqref="AI62">
    <cfRule type="expression" dxfId="149" priority="277">
      <formula>#REF! ="62≠45+46+60+61"</formula>
    </cfRule>
  </conditionalFormatting>
  <conditionalFormatting sqref="AI64">
    <cfRule type="expression" dxfId="148" priority="278">
      <formula>#REF! ="64≠29+62"</formula>
    </cfRule>
  </conditionalFormatting>
  <conditionalFormatting sqref="AI79">
    <cfRule type="expression" dxfId="147" priority="279">
      <formula>#REF! ="79≠73+74+75+76+77+78"</formula>
    </cfRule>
  </conditionalFormatting>
  <conditionalFormatting sqref="AI85">
    <cfRule type="expression" dxfId="146" priority="280">
      <formula>#REF! ="88≠82+83+84+85+86+87"</formula>
    </cfRule>
  </conditionalFormatting>
  <conditionalFormatting sqref="AI91">
    <cfRule type="expression" dxfId="145" priority="281">
      <formula>#REF! = "64≠94"</formula>
    </cfRule>
  </conditionalFormatting>
  <conditionalFormatting sqref="AI91">
    <cfRule type="expression" dxfId="144" priority="282">
      <formula>#REF! = "94≠68+69+71+80+88+89+90+91+92"</formula>
    </cfRule>
  </conditionalFormatting>
  <conditionalFormatting sqref="AF35">
    <cfRule type="expression" dxfId="143" priority="247">
      <formula>#REF! ="35≠36+38"</formula>
    </cfRule>
  </conditionalFormatting>
  <conditionalFormatting sqref="AF39">
    <cfRule type="expression" dxfId="142" priority="248">
      <formula>#REF! ="39≠40+41+42+43+44"</formula>
    </cfRule>
  </conditionalFormatting>
  <conditionalFormatting sqref="AF45">
    <cfRule type="expression" dxfId="141" priority="249">
      <formula>#REF! ="45≠33+34+35+39"</formula>
    </cfRule>
  </conditionalFormatting>
  <conditionalFormatting sqref="AF50">
    <cfRule type="expression" dxfId="140" priority="250">
      <formula>#REF! ="50≠51+53"</formula>
    </cfRule>
  </conditionalFormatting>
  <conditionalFormatting sqref="AF54">
    <cfRule type="expression" dxfId="139" priority="251">
      <formula>#REF! ="54≠55+56+57+58+59"</formula>
    </cfRule>
  </conditionalFormatting>
  <conditionalFormatting sqref="AF60">
    <cfRule type="expression" dxfId="138" priority="252">
      <formula>#REF! ="60≠48+49+50+54"</formula>
    </cfRule>
  </conditionalFormatting>
  <conditionalFormatting sqref="AF62">
    <cfRule type="expression" dxfId="137" priority="253">
      <formula>#REF! ="62≠45+46+60+61"</formula>
    </cfRule>
  </conditionalFormatting>
  <conditionalFormatting sqref="AF64">
    <cfRule type="expression" dxfId="136" priority="254">
      <formula>#REF! ="64≠29+62"</formula>
    </cfRule>
  </conditionalFormatting>
  <conditionalFormatting sqref="AF79">
    <cfRule type="expression" dxfId="135" priority="255">
      <formula>#REF! ="79≠73+74+75+76+77+78"</formula>
    </cfRule>
  </conditionalFormatting>
  <conditionalFormatting sqref="AF85">
    <cfRule type="expression" dxfId="134" priority="256">
      <formula>#REF! ="88≠82+83+84+85+86+87"</formula>
    </cfRule>
  </conditionalFormatting>
  <conditionalFormatting sqref="AF91">
    <cfRule type="expression" dxfId="133" priority="257">
      <formula>#REF! = "64≠94"</formula>
    </cfRule>
  </conditionalFormatting>
  <conditionalFormatting sqref="AF91">
    <cfRule type="expression" dxfId="132" priority="258">
      <formula>#REF! = "94≠68+69+71+80+88+89+90+91+92"</formula>
    </cfRule>
  </conditionalFormatting>
  <conditionalFormatting sqref="K35">
    <cfRule type="expression" dxfId="131" priority="223">
      <formula>#REF! ="35≠36+38"</formula>
    </cfRule>
  </conditionalFormatting>
  <conditionalFormatting sqref="K39">
    <cfRule type="expression" dxfId="130" priority="224">
      <formula>#REF! ="39≠40+41+42+43+44"</formula>
    </cfRule>
  </conditionalFormatting>
  <conditionalFormatting sqref="K45">
    <cfRule type="expression" dxfId="129" priority="225">
      <formula>#REF! ="45≠33+34+35+39"</formula>
    </cfRule>
  </conditionalFormatting>
  <conditionalFormatting sqref="K50">
    <cfRule type="expression" dxfId="128" priority="226">
      <formula>#REF! ="50≠51+53"</formula>
    </cfRule>
  </conditionalFormatting>
  <conditionalFormatting sqref="K54">
    <cfRule type="expression" dxfId="127" priority="227">
      <formula>#REF! ="54≠55+56+57+58+59"</formula>
    </cfRule>
  </conditionalFormatting>
  <conditionalFormatting sqref="K60">
    <cfRule type="expression" dxfId="126" priority="228">
      <formula>#REF! ="60≠48+49+50+54"</formula>
    </cfRule>
  </conditionalFormatting>
  <conditionalFormatting sqref="K62">
    <cfRule type="expression" dxfId="125" priority="229">
      <formula>#REF! ="62≠45+46+60+61"</formula>
    </cfRule>
  </conditionalFormatting>
  <conditionalFormatting sqref="K64">
    <cfRule type="expression" dxfId="124" priority="230">
      <formula>#REF! ="64≠29+62"</formula>
    </cfRule>
  </conditionalFormatting>
  <conditionalFormatting sqref="K79">
    <cfRule type="expression" dxfId="123" priority="231">
      <formula>#REF! ="79≠73+74+75+76+77+78"</formula>
    </cfRule>
  </conditionalFormatting>
  <conditionalFormatting sqref="K85">
    <cfRule type="expression" dxfId="122" priority="232">
      <formula>#REF! ="88≠82+83+84+85+86+87"</formula>
    </cfRule>
  </conditionalFormatting>
  <conditionalFormatting sqref="K91">
    <cfRule type="expression" dxfId="121" priority="233">
      <formula>#REF! = "64≠94"</formula>
    </cfRule>
  </conditionalFormatting>
  <conditionalFormatting sqref="K91">
    <cfRule type="expression" dxfId="120" priority="234">
      <formula>#REF! = "94≠68+69+71+80+88+89+90+91+92"</formula>
    </cfRule>
  </conditionalFormatting>
  <conditionalFormatting sqref="N35">
    <cfRule type="expression" dxfId="119" priority="199">
      <formula>#REF! ="35≠36+38"</formula>
    </cfRule>
  </conditionalFormatting>
  <conditionalFormatting sqref="N39">
    <cfRule type="expression" dxfId="118" priority="200">
      <formula>#REF! ="39≠40+41+42+43+44"</formula>
    </cfRule>
  </conditionalFormatting>
  <conditionalFormatting sqref="N45">
    <cfRule type="expression" dxfId="117" priority="201">
      <formula>#REF! ="45≠33+34+35+39"</formula>
    </cfRule>
  </conditionalFormatting>
  <conditionalFormatting sqref="N50">
    <cfRule type="expression" dxfId="116" priority="202">
      <formula>#REF! ="50≠51+53"</formula>
    </cfRule>
  </conditionalFormatting>
  <conditionalFormatting sqref="N54">
    <cfRule type="expression" dxfId="115" priority="203">
      <formula>#REF! ="54≠55+56+57+58+59"</formula>
    </cfRule>
  </conditionalFormatting>
  <conditionalFormatting sqref="N60">
    <cfRule type="expression" dxfId="114" priority="204">
      <formula>#REF! ="60≠48+49+50+54"</formula>
    </cfRule>
  </conditionalFormatting>
  <conditionalFormatting sqref="N62">
    <cfRule type="expression" dxfId="113" priority="205">
      <formula>#REF! ="62≠45+46+60+61"</formula>
    </cfRule>
  </conditionalFormatting>
  <conditionalFormatting sqref="N64">
    <cfRule type="expression" dxfId="112" priority="206">
      <formula>#REF! ="64≠29+62"</formula>
    </cfRule>
  </conditionalFormatting>
  <conditionalFormatting sqref="N79">
    <cfRule type="expression" dxfId="111" priority="207">
      <formula>#REF! ="79≠73+74+75+76+77+78"</formula>
    </cfRule>
  </conditionalFormatting>
  <conditionalFormatting sqref="N85">
    <cfRule type="expression" dxfId="110" priority="208">
      <formula>#REF! ="88≠82+83+84+85+86+87"</formula>
    </cfRule>
  </conditionalFormatting>
  <conditionalFormatting sqref="N91">
    <cfRule type="expression" dxfId="109" priority="209">
      <formula>#REF! = "64≠94"</formula>
    </cfRule>
  </conditionalFormatting>
  <conditionalFormatting sqref="N91">
    <cfRule type="expression" dxfId="108" priority="210">
      <formula>#REF! = "94≠68+69+71+80+88+89+90+91+92"</formula>
    </cfRule>
  </conditionalFormatting>
  <conditionalFormatting sqref="AC35">
    <cfRule type="expression" dxfId="107" priority="175">
      <formula>#REF! ="35≠36+38"</formula>
    </cfRule>
  </conditionalFormatting>
  <conditionalFormatting sqref="AC39">
    <cfRule type="expression" dxfId="106" priority="176">
      <formula>#REF! ="39≠40+41+42+43+44"</formula>
    </cfRule>
  </conditionalFormatting>
  <conditionalFormatting sqref="AC45">
    <cfRule type="expression" dxfId="105" priority="177">
      <formula>#REF! ="45≠33+34+35+39"</formula>
    </cfRule>
  </conditionalFormatting>
  <conditionalFormatting sqref="AC50">
    <cfRule type="expression" dxfId="104" priority="178">
      <formula>#REF! ="50≠51+53"</formula>
    </cfRule>
  </conditionalFormatting>
  <conditionalFormatting sqref="AC54">
    <cfRule type="expression" dxfId="103" priority="179">
      <formula>#REF! ="54≠55+56+57+58+59"</formula>
    </cfRule>
  </conditionalFormatting>
  <conditionalFormatting sqref="AC60">
    <cfRule type="expression" dxfId="102" priority="180">
      <formula>#REF! ="60≠48+49+50+54"</formula>
    </cfRule>
  </conditionalFormatting>
  <conditionalFormatting sqref="AC62">
    <cfRule type="expression" dxfId="101" priority="181">
      <formula>#REF! ="62≠45+46+60+61"</formula>
    </cfRule>
  </conditionalFormatting>
  <conditionalFormatting sqref="AC64">
    <cfRule type="expression" dxfId="100" priority="182">
      <formula>#REF! ="64≠29+62"</formula>
    </cfRule>
  </conditionalFormatting>
  <conditionalFormatting sqref="AC79">
    <cfRule type="expression" dxfId="99" priority="183">
      <formula>#REF! ="79≠73+74+75+76+77+78"</formula>
    </cfRule>
  </conditionalFormatting>
  <conditionalFormatting sqref="AC85">
    <cfRule type="expression" dxfId="98" priority="184">
      <formula>#REF! ="88≠82+83+84+85+86+87"</formula>
    </cfRule>
  </conditionalFormatting>
  <conditionalFormatting sqref="AC91">
    <cfRule type="expression" dxfId="97" priority="185">
      <formula>#REF! = "64≠94"</formula>
    </cfRule>
  </conditionalFormatting>
  <conditionalFormatting sqref="AC91">
    <cfRule type="expression" dxfId="96" priority="186">
      <formula>#REF! = "94≠68+69+71+80+88+89+90+91+92"</formula>
    </cfRule>
  </conditionalFormatting>
  <conditionalFormatting sqref="W35">
    <cfRule type="expression" dxfId="95" priority="151">
      <formula>#REF! ="35≠36+38"</formula>
    </cfRule>
  </conditionalFormatting>
  <conditionalFormatting sqref="W39">
    <cfRule type="expression" dxfId="94" priority="152">
      <formula>#REF! ="39≠40+41+42+43+44"</formula>
    </cfRule>
  </conditionalFormatting>
  <conditionalFormatting sqref="W45">
    <cfRule type="expression" dxfId="93" priority="153">
      <formula>#REF! ="45≠33+34+35+39"</formula>
    </cfRule>
  </conditionalFormatting>
  <conditionalFormatting sqref="W50">
    <cfRule type="expression" dxfId="92" priority="154">
      <formula>#REF! ="50≠51+53"</formula>
    </cfRule>
  </conditionalFormatting>
  <conditionalFormatting sqref="W54">
    <cfRule type="expression" dxfId="91" priority="155">
      <formula>#REF! ="54≠55+56+57+58+59"</formula>
    </cfRule>
  </conditionalFormatting>
  <conditionalFormatting sqref="W60">
    <cfRule type="expression" dxfId="90" priority="156">
      <formula>#REF! ="60≠48+49+50+54"</formula>
    </cfRule>
  </conditionalFormatting>
  <conditionalFormatting sqref="W62">
    <cfRule type="expression" dxfId="89" priority="157">
      <formula>#REF! ="62≠45+46+60+61"</formula>
    </cfRule>
  </conditionalFormatting>
  <conditionalFormatting sqref="W64">
    <cfRule type="expression" dxfId="88" priority="158">
      <formula>#REF! ="64≠29+62"</formula>
    </cfRule>
  </conditionalFormatting>
  <conditionalFormatting sqref="W79">
    <cfRule type="expression" dxfId="87" priority="159">
      <formula>#REF! ="79≠73+74+75+76+77+78"</formula>
    </cfRule>
  </conditionalFormatting>
  <conditionalFormatting sqref="W85">
    <cfRule type="expression" dxfId="86" priority="160">
      <formula>#REF! ="88≠82+83+84+85+86+87"</formula>
    </cfRule>
  </conditionalFormatting>
  <conditionalFormatting sqref="W91">
    <cfRule type="expression" dxfId="85" priority="161">
      <formula>#REF! = "64≠94"</formula>
    </cfRule>
  </conditionalFormatting>
  <conditionalFormatting sqref="W91">
    <cfRule type="expression" dxfId="84" priority="162">
      <formula>#REF! = "94≠68+69+71+80+88+89+90+91+92"</formula>
    </cfRule>
  </conditionalFormatting>
  <conditionalFormatting sqref="Z35">
    <cfRule type="expression" dxfId="83" priority="127">
      <formula>#REF! ="35≠36+38"</formula>
    </cfRule>
  </conditionalFormatting>
  <conditionalFormatting sqref="Z39">
    <cfRule type="expression" dxfId="82" priority="128">
      <formula>#REF! ="39≠40+41+42+43+44"</formula>
    </cfRule>
  </conditionalFormatting>
  <conditionalFormatting sqref="Z45">
    <cfRule type="expression" dxfId="81" priority="129">
      <formula>#REF! ="45≠33+34+35+39"</formula>
    </cfRule>
  </conditionalFormatting>
  <conditionalFormatting sqref="Z50">
    <cfRule type="expression" dxfId="80" priority="130">
      <formula>#REF! ="50≠51+53"</formula>
    </cfRule>
  </conditionalFormatting>
  <conditionalFormatting sqref="Z54">
    <cfRule type="expression" dxfId="79" priority="131">
      <formula>#REF! ="54≠55+56+57+58+59"</formula>
    </cfRule>
  </conditionalFormatting>
  <conditionalFormatting sqref="Z60">
    <cfRule type="expression" dxfId="78" priority="132">
      <formula>#REF! ="60≠48+49+50+54"</formula>
    </cfRule>
  </conditionalFormatting>
  <conditionalFormatting sqref="Z62">
    <cfRule type="expression" dxfId="77" priority="133">
      <formula>#REF! ="62≠45+46+60+61"</formula>
    </cfRule>
  </conditionalFormatting>
  <conditionalFormatting sqref="Z64">
    <cfRule type="expression" dxfId="76" priority="134">
      <formula>#REF! ="64≠29+62"</formula>
    </cfRule>
  </conditionalFormatting>
  <conditionalFormatting sqref="Z79">
    <cfRule type="expression" dxfId="75" priority="135">
      <formula>#REF! ="79≠73+74+75+76+77+78"</formula>
    </cfRule>
  </conditionalFormatting>
  <conditionalFormatting sqref="Z85">
    <cfRule type="expression" dxfId="74" priority="136">
      <formula>#REF! ="88≠82+83+84+85+86+87"</formula>
    </cfRule>
  </conditionalFormatting>
  <conditionalFormatting sqref="Z91">
    <cfRule type="expression" dxfId="73" priority="137">
      <formula>#REF! = "64≠94"</formula>
    </cfRule>
  </conditionalFormatting>
  <conditionalFormatting sqref="Z91">
    <cfRule type="expression" dxfId="72" priority="138">
      <formula>#REF! = "94≠68+69+71+80+88+89+90+91+92"</formula>
    </cfRule>
  </conditionalFormatting>
  <conditionalFormatting sqref="Q35">
    <cfRule type="expression" dxfId="71" priority="103">
      <formula>#REF! ="35≠36+38"</formula>
    </cfRule>
  </conditionalFormatting>
  <conditionalFormatting sqref="Q39">
    <cfRule type="expression" dxfId="70" priority="104">
      <formula>#REF! ="39≠40+41+42+43+44"</formula>
    </cfRule>
  </conditionalFormatting>
  <conditionalFormatting sqref="Q45">
    <cfRule type="expression" dxfId="69" priority="105">
      <formula>#REF! ="45≠33+34+35+39"</formula>
    </cfRule>
  </conditionalFormatting>
  <conditionalFormatting sqref="Q50">
    <cfRule type="expression" dxfId="68" priority="106">
      <formula>#REF! ="50≠51+53"</formula>
    </cfRule>
  </conditionalFormatting>
  <conditionalFormatting sqref="Q54">
    <cfRule type="expression" dxfId="67" priority="107">
      <formula>#REF! ="54≠55+56+57+58+59"</formula>
    </cfRule>
  </conditionalFormatting>
  <conditionalFormatting sqref="Q60">
    <cfRule type="expression" dxfId="66" priority="108">
      <formula>#REF! ="60≠48+49+50+54"</formula>
    </cfRule>
  </conditionalFormatting>
  <conditionalFormatting sqref="Q62">
    <cfRule type="expression" dxfId="65" priority="109">
      <formula>#REF! ="62≠45+46+60+61"</formula>
    </cfRule>
  </conditionalFormatting>
  <conditionalFormatting sqref="Q64">
    <cfRule type="expression" dxfId="64" priority="110">
      <formula>#REF! ="64≠29+62"</formula>
    </cfRule>
  </conditionalFormatting>
  <conditionalFormatting sqref="Q79">
    <cfRule type="expression" dxfId="63" priority="111">
      <formula>#REF! ="79≠73+74+75+76+77+78"</formula>
    </cfRule>
  </conditionalFormatting>
  <conditionalFormatting sqref="Q85">
    <cfRule type="expression" dxfId="62" priority="112">
      <formula>#REF! ="88≠82+83+84+85+86+87"</formula>
    </cfRule>
  </conditionalFormatting>
  <conditionalFormatting sqref="Q91">
    <cfRule type="expression" dxfId="61" priority="113">
      <formula>#REF! = "64≠94"</formula>
    </cfRule>
  </conditionalFormatting>
  <conditionalFormatting sqref="Q91">
    <cfRule type="expression" dxfId="60" priority="114">
      <formula>#REF! = "94≠68+69+71+80+88+89+90+91+92"</formula>
    </cfRule>
  </conditionalFormatting>
  <conditionalFormatting sqref="B35">
    <cfRule type="expression" dxfId="59" priority="79">
      <formula>#REF! ="35≠36+38"</formula>
    </cfRule>
  </conditionalFormatting>
  <conditionalFormatting sqref="B39">
    <cfRule type="expression" dxfId="58" priority="80">
      <formula>#REF! ="39≠40+41+42+43+44"</formula>
    </cfRule>
  </conditionalFormatting>
  <conditionalFormatting sqref="B45">
    <cfRule type="expression" dxfId="57" priority="81">
      <formula>#REF! ="45≠33+34+35+39"</formula>
    </cfRule>
  </conditionalFormatting>
  <conditionalFormatting sqref="B50">
    <cfRule type="expression" dxfId="56" priority="82">
      <formula>#REF! ="50≠51+53"</formula>
    </cfRule>
  </conditionalFormatting>
  <conditionalFormatting sqref="B54">
    <cfRule type="expression" dxfId="55" priority="83">
      <formula>#REF! ="54≠55+56+57+58+59"</formula>
    </cfRule>
  </conditionalFormatting>
  <conditionalFormatting sqref="B60">
    <cfRule type="expression" dxfId="54" priority="84">
      <formula>#REF! ="60≠48+49+50+54"</formula>
    </cfRule>
  </conditionalFormatting>
  <conditionalFormatting sqref="B62">
    <cfRule type="expression" dxfId="53" priority="85">
      <formula>#REF! ="62≠45+46+60+61"</formula>
    </cfRule>
  </conditionalFormatting>
  <conditionalFormatting sqref="B64">
    <cfRule type="expression" dxfId="52" priority="86">
      <formula>#REF! ="64≠29+62"</formula>
    </cfRule>
  </conditionalFormatting>
  <conditionalFormatting sqref="B79">
    <cfRule type="expression" dxfId="51" priority="87">
      <formula>#REF! ="79≠73+74+75+76+77+78"</formula>
    </cfRule>
  </conditionalFormatting>
  <conditionalFormatting sqref="B85">
    <cfRule type="expression" dxfId="50" priority="88">
      <formula>#REF! ="88≠82+83+84+85+86+87"</formula>
    </cfRule>
  </conditionalFormatting>
  <conditionalFormatting sqref="B91">
    <cfRule type="expression" dxfId="49" priority="89">
      <formula>#REF! = "64≠94"</formula>
    </cfRule>
  </conditionalFormatting>
  <conditionalFormatting sqref="B91">
    <cfRule type="expression" dxfId="48" priority="90">
      <formula>#REF! = "94≠68+69+71+80+88+89+90+91+92"</formula>
    </cfRule>
  </conditionalFormatting>
  <conditionalFormatting sqref="E35">
    <cfRule type="expression" dxfId="47" priority="55">
      <formula>#REF! ="35≠36+38"</formula>
    </cfRule>
  </conditionalFormatting>
  <conditionalFormatting sqref="E39">
    <cfRule type="expression" dxfId="46" priority="56">
      <formula>#REF! ="39≠40+41+42+43+44"</formula>
    </cfRule>
  </conditionalFormatting>
  <conditionalFormatting sqref="E45">
    <cfRule type="expression" dxfId="45" priority="57">
      <formula>#REF! ="45≠33+34+35+39"</formula>
    </cfRule>
  </conditionalFormatting>
  <conditionalFormatting sqref="E50">
    <cfRule type="expression" dxfId="44" priority="58">
      <formula>#REF! ="50≠51+53"</formula>
    </cfRule>
  </conditionalFormatting>
  <conditionalFormatting sqref="E54">
    <cfRule type="expression" dxfId="43" priority="59">
      <formula>#REF! ="54≠55+56+57+58+59"</formula>
    </cfRule>
  </conditionalFormatting>
  <conditionalFormatting sqref="E60">
    <cfRule type="expression" dxfId="42" priority="60">
      <formula>#REF! ="60≠48+49+50+54"</formula>
    </cfRule>
  </conditionalFormatting>
  <conditionalFormatting sqref="E62">
    <cfRule type="expression" dxfId="41" priority="61">
      <formula>#REF! ="62≠45+46+60+61"</formula>
    </cfRule>
  </conditionalFormatting>
  <conditionalFormatting sqref="E64">
    <cfRule type="expression" dxfId="40" priority="62">
      <formula>#REF! ="64≠29+62"</formula>
    </cfRule>
  </conditionalFormatting>
  <conditionalFormatting sqref="E79">
    <cfRule type="expression" dxfId="39" priority="63">
      <formula>#REF! ="79≠73+74+75+76+77+78"</formula>
    </cfRule>
  </conditionalFormatting>
  <conditionalFormatting sqref="E85">
    <cfRule type="expression" dxfId="38" priority="64">
      <formula>#REF! ="88≠82+83+84+85+86+87"</formula>
    </cfRule>
  </conditionalFormatting>
  <conditionalFormatting sqref="E91">
    <cfRule type="expression" dxfId="37" priority="65">
      <formula>#REF! = "64≠94"</formula>
    </cfRule>
  </conditionalFormatting>
  <conditionalFormatting sqref="E91">
    <cfRule type="expression" dxfId="36" priority="66">
      <formula>#REF! = "94≠68+69+71+80+88+89+90+91+92"</formula>
    </cfRule>
  </conditionalFormatting>
  <conditionalFormatting sqref="T35">
    <cfRule type="expression" dxfId="35" priority="31">
      <formula>#REF! ="35≠36+38"</formula>
    </cfRule>
  </conditionalFormatting>
  <conditionalFormatting sqref="T39">
    <cfRule type="expression" dxfId="34" priority="32">
      <formula>#REF! ="39≠40+41+42+43+44"</formula>
    </cfRule>
  </conditionalFormatting>
  <conditionalFormatting sqref="T45">
    <cfRule type="expression" dxfId="33" priority="33">
      <formula>#REF! ="45≠33+34+35+39"</formula>
    </cfRule>
  </conditionalFormatting>
  <conditionalFormatting sqref="T50">
    <cfRule type="expression" dxfId="32" priority="34">
      <formula>#REF! ="50≠51+53"</formula>
    </cfRule>
  </conditionalFormatting>
  <conditionalFormatting sqref="T54">
    <cfRule type="expression" dxfId="31" priority="35">
      <formula>#REF! ="54≠55+56+57+58+59"</formula>
    </cfRule>
  </conditionalFormatting>
  <conditionalFormatting sqref="T60">
    <cfRule type="expression" dxfId="30" priority="36">
      <formula>#REF! ="60≠48+49+50+54"</formula>
    </cfRule>
  </conditionalFormatting>
  <conditionalFormatting sqref="T62">
    <cfRule type="expression" dxfId="29" priority="37">
      <formula>#REF! ="62≠45+46+60+61"</formula>
    </cfRule>
  </conditionalFormatting>
  <conditionalFormatting sqref="T64">
    <cfRule type="expression" dxfId="28" priority="38">
      <formula>#REF! ="64≠29+62"</formula>
    </cfRule>
  </conditionalFormatting>
  <conditionalFormatting sqref="T79">
    <cfRule type="expression" dxfId="27" priority="39">
      <formula>#REF! ="79≠73+74+75+76+77+78"</formula>
    </cfRule>
  </conditionalFormatting>
  <conditionalFormatting sqref="T85">
    <cfRule type="expression" dxfId="26" priority="40">
      <formula>#REF! ="88≠82+83+84+85+86+87"</formula>
    </cfRule>
  </conditionalFormatting>
  <conditionalFormatting sqref="T91">
    <cfRule type="expression" dxfId="25" priority="41">
      <formula>#REF! = "64≠94"</formula>
    </cfRule>
  </conditionalFormatting>
  <conditionalFormatting sqref="T91">
    <cfRule type="expression" dxfId="24" priority="42">
      <formula>#REF! = "94≠68+69+71+80+88+89+90+91+92"</formula>
    </cfRule>
  </conditionalFormatting>
  <conditionalFormatting sqref="H35">
    <cfRule type="expression" dxfId="23" priority="7">
      <formula>#REF! ="35≠36+38"</formula>
    </cfRule>
  </conditionalFormatting>
  <conditionalFormatting sqref="H39">
    <cfRule type="expression" dxfId="22" priority="8">
      <formula>#REF! ="39≠40+41+42+43+44"</formula>
    </cfRule>
  </conditionalFormatting>
  <conditionalFormatting sqref="H45">
    <cfRule type="expression" dxfId="21" priority="9">
      <formula>#REF! ="45≠33+34+35+39"</formula>
    </cfRule>
  </conditionalFormatting>
  <conditionalFormatting sqref="H50">
    <cfRule type="expression" dxfId="20" priority="10">
      <formula>#REF! ="50≠51+53"</formula>
    </cfRule>
  </conditionalFormatting>
  <conditionalFormatting sqref="H54">
    <cfRule type="expression" dxfId="19" priority="11">
      <formula>#REF! ="54≠55+56+57+58+59"</formula>
    </cfRule>
  </conditionalFormatting>
  <conditionalFormatting sqref="H60">
    <cfRule type="expression" dxfId="18" priority="12">
      <formula>#REF! ="60≠48+49+50+54"</formula>
    </cfRule>
  </conditionalFormatting>
  <conditionalFormatting sqref="H62">
    <cfRule type="expression" dxfId="17" priority="13">
      <formula>#REF! ="62≠45+46+60+61"</formula>
    </cfRule>
  </conditionalFormatting>
  <conditionalFormatting sqref="H64">
    <cfRule type="expression" dxfId="16" priority="14">
      <formula>#REF! ="64≠29+62"</formula>
    </cfRule>
  </conditionalFormatting>
  <conditionalFormatting sqref="H79">
    <cfRule type="expression" dxfId="15" priority="15">
      <formula>#REF! ="79≠73+74+75+76+77+78"</formula>
    </cfRule>
  </conditionalFormatting>
  <conditionalFormatting sqref="H85">
    <cfRule type="expression" dxfId="14" priority="16">
      <formula>#REF! ="88≠82+83+84+85+86+87"</formula>
    </cfRule>
  </conditionalFormatting>
  <conditionalFormatting sqref="H91">
    <cfRule type="expression" dxfId="13" priority="17">
      <formula>#REF! = "64≠94"</formula>
    </cfRule>
  </conditionalFormatting>
  <conditionalFormatting sqref="H91">
    <cfRule type="expression" dxfId="12" priority="18">
      <formula>#REF! = "94≠68+69+71+80+88+89+90+91+92"</formula>
    </cfRule>
  </conditionalFormatting>
  <conditionalFormatting sqref="AJ64 AG64 L64 O64 AD64 X64 AA64 R64 C64 F64 U64 I64 AL64:AM64 AO64:AP64">
    <cfRule type="expression" dxfId="11" priority="1050">
      <formula>#REF! ="64≠29+62"</formula>
    </cfRule>
  </conditionalFormatting>
  <conditionalFormatting sqref="AJ91 AG91 L91 O91 AD91 X91 AA91 R91 C91 F91 U91 I91 AL91:AM91 AO91:AP91">
    <cfRule type="expression" dxfId="10" priority="1052">
      <formula>#REF! = "64≠94"</formula>
    </cfRule>
  </conditionalFormatting>
  <conditionalFormatting sqref="AJ91 AG91 L91 O91 AD91 X91 AA91 R91 C91 F91 U91 I91 AL91:AM91 AO91:AP91">
    <cfRule type="expression" dxfId="9" priority="1054">
      <formula>#REF! = "94≠68+69+71+80+88+89+90+91+92"</formula>
    </cfRule>
  </conditionalFormatting>
  <conditionalFormatting sqref="AJ35 AG35 L35 O35 AD35 X35 AA35 R35 C35 F35 U35 I35">
    <cfRule type="expression" dxfId="8" priority="1056">
      <formula>#REF! ="35≠36+38"</formula>
    </cfRule>
  </conditionalFormatting>
  <conditionalFormatting sqref="AJ39 AG39 L39 O39 AD39 X39 AA39 R39 C39 F39 U39 I39">
    <cfRule type="expression" dxfId="7" priority="1057">
      <formula>#REF! ="39≠40+41+42+43+44"</formula>
    </cfRule>
  </conditionalFormatting>
  <conditionalFormatting sqref="AJ45 AG45 L45 O45 AD45 X45 AA45 R45 C45 F45 U45 I45">
    <cfRule type="expression" dxfId="6" priority="1058">
      <formula>#REF! ="45≠33+34+35+39"</formula>
    </cfRule>
  </conditionalFormatting>
  <conditionalFormatting sqref="AJ50 AG50 L50 O50 AD50 X50 AA50 R50 C50 F50 U50 I50">
    <cfRule type="expression" dxfId="5" priority="1059">
      <formula>#REF! ="50≠51+53"</formula>
    </cfRule>
  </conditionalFormatting>
  <conditionalFormatting sqref="AJ54 AG54 L54 O54 AD54 X54 AA54 R54 C54 F54 U54 I54">
    <cfRule type="expression" dxfId="4" priority="1060">
      <formula>#REF! ="54≠55+56+57+58+59"</formula>
    </cfRule>
  </conditionalFormatting>
  <conditionalFormatting sqref="AJ60 AG60 L60 O60 AD60 X60 AA60 R60 C60 F60 U60 I60">
    <cfRule type="expression" dxfId="3" priority="1061">
      <formula>#REF! ="60≠48+49+50+54"</formula>
    </cfRule>
  </conditionalFormatting>
  <conditionalFormatting sqref="AJ62 AG62 L62 O62 AD62 X62 AA62 R62 C62 F62 U62 I62">
    <cfRule type="expression" dxfId="2" priority="1062">
      <formula>#REF! ="62≠45+46+60+61"</formula>
    </cfRule>
  </conditionalFormatting>
  <conditionalFormatting sqref="AJ79 AG79 L79 O79 AD79 X79 AA79 R79 C79 F79 U79 I79">
    <cfRule type="expression" dxfId="1" priority="1064">
      <formula>#REF! ="80≠73+74+75+76+77+78+79"</formula>
    </cfRule>
  </conditionalFormatting>
  <conditionalFormatting sqref="AJ85 AG85 L85 O85 AD85 X85 AA85 R85 C85 F85 U85 I85">
    <cfRule type="expression" dxfId="0" priority="1065">
      <formula>#REF! ="88≠82+83+84+85+86+87"</formula>
    </cfRule>
  </conditionalFormatting>
  <hyperlinks>
    <hyperlink ref="B1" location="Innhold!A1" display="Tilbake" xr:uid="{00000000-0004-0000-22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5F4D1-36F7-4EB7-82FA-410AA179E4A4}">
  <dimension ref="A1:AY46"/>
  <sheetViews>
    <sheetView showGridLines="0" zoomScale="70" zoomScaleNormal="70" workbookViewId="0">
      <pane xSplit="1" ySplit="8" topLeftCell="B9" activePane="bottomRight" state="frozen"/>
      <selection pane="topRight" activeCell="B1" sqref="B1"/>
      <selection pane="bottomLeft" activeCell="A9" sqref="A9"/>
      <selection pane="bottomRight" activeCell="A4" sqref="A4"/>
    </sheetView>
  </sheetViews>
  <sheetFormatPr baseColWidth="10" defaultColWidth="11.42578125" defaultRowHeight="12.75" x14ac:dyDescent="0.2"/>
  <cols>
    <col min="1" max="1" width="62" style="621" customWidth="1"/>
    <col min="2" max="34" width="11.7109375" style="621" customWidth="1"/>
    <col min="35" max="253" width="11.42578125" style="621"/>
    <col min="254" max="254" width="62" style="621" customWidth="1"/>
    <col min="255" max="290" width="11.7109375" style="621" customWidth="1"/>
    <col min="291" max="509" width="11.42578125" style="621"/>
    <col min="510" max="510" width="62" style="621" customWidth="1"/>
    <col min="511" max="546" width="11.7109375" style="621" customWidth="1"/>
    <col min="547" max="765" width="11.42578125" style="621"/>
    <col min="766" max="766" width="62" style="621" customWidth="1"/>
    <col min="767" max="802" width="11.7109375" style="621" customWidth="1"/>
    <col min="803" max="1021" width="11.42578125" style="621"/>
    <col min="1022" max="1022" width="62" style="621" customWidth="1"/>
    <col min="1023" max="1058" width="11.7109375" style="621" customWidth="1"/>
    <col min="1059" max="1277" width="11.42578125" style="621"/>
    <col min="1278" max="1278" width="62" style="621" customWidth="1"/>
    <col min="1279" max="1314" width="11.7109375" style="621" customWidth="1"/>
    <col min="1315" max="1533" width="11.42578125" style="621"/>
    <col min="1534" max="1534" width="62" style="621" customWidth="1"/>
    <col min="1535" max="1570" width="11.7109375" style="621" customWidth="1"/>
    <col min="1571" max="1789" width="11.42578125" style="621"/>
    <col min="1790" max="1790" width="62" style="621" customWidth="1"/>
    <col min="1791" max="1826" width="11.7109375" style="621" customWidth="1"/>
    <col min="1827" max="2045" width="11.42578125" style="621"/>
    <col min="2046" max="2046" width="62" style="621" customWidth="1"/>
    <col min="2047" max="2082" width="11.7109375" style="621" customWidth="1"/>
    <col min="2083" max="2301" width="11.42578125" style="621"/>
    <col min="2302" max="2302" width="62" style="621" customWidth="1"/>
    <col min="2303" max="2338" width="11.7109375" style="621" customWidth="1"/>
    <col min="2339" max="2557" width="11.42578125" style="621"/>
    <col min="2558" max="2558" width="62" style="621" customWidth="1"/>
    <col min="2559" max="2594" width="11.7109375" style="621" customWidth="1"/>
    <col min="2595" max="2813" width="11.42578125" style="621"/>
    <col min="2814" max="2814" width="62" style="621" customWidth="1"/>
    <col min="2815" max="2850" width="11.7109375" style="621" customWidth="1"/>
    <col min="2851" max="3069" width="11.42578125" style="621"/>
    <col min="3070" max="3070" width="62" style="621" customWidth="1"/>
    <col min="3071" max="3106" width="11.7109375" style="621" customWidth="1"/>
    <col min="3107" max="3325" width="11.42578125" style="621"/>
    <col min="3326" max="3326" width="62" style="621" customWidth="1"/>
    <col min="3327" max="3362" width="11.7109375" style="621" customWidth="1"/>
    <col min="3363" max="3581" width="11.42578125" style="621"/>
    <col min="3582" max="3582" width="62" style="621" customWidth="1"/>
    <col min="3583" max="3618" width="11.7109375" style="621" customWidth="1"/>
    <col min="3619" max="3837" width="11.42578125" style="621"/>
    <col min="3838" max="3838" width="62" style="621" customWidth="1"/>
    <col min="3839" max="3874" width="11.7109375" style="621" customWidth="1"/>
    <col min="3875" max="4093" width="11.42578125" style="621"/>
    <col min="4094" max="4094" width="62" style="621" customWidth="1"/>
    <col min="4095" max="4130" width="11.7109375" style="621" customWidth="1"/>
    <col min="4131" max="4349" width="11.42578125" style="621"/>
    <col min="4350" max="4350" width="62" style="621" customWidth="1"/>
    <col min="4351" max="4386" width="11.7109375" style="621" customWidth="1"/>
    <col min="4387" max="4605" width="11.42578125" style="621"/>
    <col min="4606" max="4606" width="62" style="621" customWidth="1"/>
    <col min="4607" max="4642" width="11.7109375" style="621" customWidth="1"/>
    <col min="4643" max="4861" width="11.42578125" style="621"/>
    <col min="4862" max="4862" width="62" style="621" customWidth="1"/>
    <col min="4863" max="4898" width="11.7109375" style="621" customWidth="1"/>
    <col min="4899" max="5117" width="11.42578125" style="621"/>
    <col min="5118" max="5118" width="62" style="621" customWidth="1"/>
    <col min="5119" max="5154" width="11.7109375" style="621" customWidth="1"/>
    <col min="5155" max="5373" width="11.42578125" style="621"/>
    <col min="5374" max="5374" width="62" style="621" customWidth="1"/>
    <col min="5375" max="5410" width="11.7109375" style="621" customWidth="1"/>
    <col min="5411" max="5629" width="11.42578125" style="621"/>
    <col min="5630" max="5630" width="62" style="621" customWidth="1"/>
    <col min="5631" max="5666" width="11.7109375" style="621" customWidth="1"/>
    <col min="5667" max="5885" width="11.42578125" style="621"/>
    <col min="5886" max="5886" width="62" style="621" customWidth="1"/>
    <col min="5887" max="5922" width="11.7109375" style="621" customWidth="1"/>
    <col min="5923" max="6141" width="11.42578125" style="621"/>
    <col min="6142" max="6142" width="62" style="621" customWidth="1"/>
    <col min="6143" max="6178" width="11.7109375" style="621" customWidth="1"/>
    <col min="6179" max="6397" width="11.42578125" style="621"/>
    <col min="6398" max="6398" width="62" style="621" customWidth="1"/>
    <col min="6399" max="6434" width="11.7109375" style="621" customWidth="1"/>
    <col min="6435" max="6653" width="11.42578125" style="621"/>
    <col min="6654" max="6654" width="62" style="621" customWidth="1"/>
    <col min="6655" max="6690" width="11.7109375" style="621" customWidth="1"/>
    <col min="6691" max="6909" width="11.42578125" style="621"/>
    <col min="6910" max="6910" width="62" style="621" customWidth="1"/>
    <col min="6911" max="6946" width="11.7109375" style="621" customWidth="1"/>
    <col min="6947" max="7165" width="11.42578125" style="621"/>
    <col min="7166" max="7166" width="62" style="621" customWidth="1"/>
    <col min="7167" max="7202" width="11.7109375" style="621" customWidth="1"/>
    <col min="7203" max="7421" width="11.42578125" style="621"/>
    <col min="7422" max="7422" width="62" style="621" customWidth="1"/>
    <col min="7423" max="7458" width="11.7109375" style="621" customWidth="1"/>
    <col min="7459" max="7677" width="11.42578125" style="621"/>
    <col min="7678" max="7678" width="62" style="621" customWidth="1"/>
    <col min="7679" max="7714" width="11.7109375" style="621" customWidth="1"/>
    <col min="7715" max="7933" width="11.42578125" style="621"/>
    <col min="7934" max="7934" width="62" style="621" customWidth="1"/>
    <col min="7935" max="7970" width="11.7109375" style="621" customWidth="1"/>
    <col min="7971" max="8189" width="11.42578125" style="621"/>
    <col min="8190" max="8190" width="62" style="621" customWidth="1"/>
    <col min="8191" max="8226" width="11.7109375" style="621" customWidth="1"/>
    <col min="8227" max="8445" width="11.42578125" style="621"/>
    <col min="8446" max="8446" width="62" style="621" customWidth="1"/>
    <col min="8447" max="8482" width="11.7109375" style="621" customWidth="1"/>
    <col min="8483" max="8701" width="11.42578125" style="621"/>
    <col min="8702" max="8702" width="62" style="621" customWidth="1"/>
    <col min="8703" max="8738" width="11.7109375" style="621" customWidth="1"/>
    <col min="8739" max="8957" width="11.42578125" style="621"/>
    <col min="8958" max="8958" width="62" style="621" customWidth="1"/>
    <col min="8959" max="8994" width="11.7109375" style="621" customWidth="1"/>
    <col min="8995" max="9213" width="11.42578125" style="621"/>
    <col min="9214" max="9214" width="62" style="621" customWidth="1"/>
    <col min="9215" max="9250" width="11.7109375" style="621" customWidth="1"/>
    <col min="9251" max="9469" width="11.42578125" style="621"/>
    <col min="9470" max="9470" width="62" style="621" customWidth="1"/>
    <col min="9471" max="9506" width="11.7109375" style="621" customWidth="1"/>
    <col min="9507" max="9725" width="11.42578125" style="621"/>
    <col min="9726" max="9726" width="62" style="621" customWidth="1"/>
    <col min="9727" max="9762" width="11.7109375" style="621" customWidth="1"/>
    <col min="9763" max="9981" width="11.42578125" style="621"/>
    <col min="9982" max="9982" width="62" style="621" customWidth="1"/>
    <col min="9983" max="10018" width="11.7109375" style="621" customWidth="1"/>
    <col min="10019" max="10237" width="11.42578125" style="621"/>
    <col min="10238" max="10238" width="62" style="621" customWidth="1"/>
    <col min="10239" max="10274" width="11.7109375" style="621" customWidth="1"/>
    <col min="10275" max="10493" width="11.42578125" style="621"/>
    <col min="10494" max="10494" width="62" style="621" customWidth="1"/>
    <col min="10495" max="10530" width="11.7109375" style="621" customWidth="1"/>
    <col min="10531" max="10749" width="11.42578125" style="621"/>
    <col min="10750" max="10750" width="62" style="621" customWidth="1"/>
    <col min="10751" max="10786" width="11.7109375" style="621" customWidth="1"/>
    <col min="10787" max="11005" width="11.42578125" style="621"/>
    <col min="11006" max="11006" width="62" style="621" customWidth="1"/>
    <col min="11007" max="11042" width="11.7109375" style="621" customWidth="1"/>
    <col min="11043" max="11261" width="11.42578125" style="621"/>
    <col min="11262" max="11262" width="62" style="621" customWidth="1"/>
    <col min="11263" max="11298" width="11.7109375" style="621" customWidth="1"/>
    <col min="11299" max="11517" width="11.42578125" style="621"/>
    <col min="11518" max="11518" width="62" style="621" customWidth="1"/>
    <col min="11519" max="11554" width="11.7109375" style="621" customWidth="1"/>
    <col min="11555" max="11773" width="11.42578125" style="621"/>
    <col min="11774" max="11774" width="62" style="621" customWidth="1"/>
    <col min="11775" max="11810" width="11.7109375" style="621" customWidth="1"/>
    <col min="11811" max="12029" width="11.42578125" style="621"/>
    <col min="12030" max="12030" width="62" style="621" customWidth="1"/>
    <col min="12031" max="12066" width="11.7109375" style="621" customWidth="1"/>
    <col min="12067" max="12285" width="11.42578125" style="621"/>
    <col min="12286" max="12286" width="62" style="621" customWidth="1"/>
    <col min="12287" max="12322" width="11.7109375" style="621" customWidth="1"/>
    <col min="12323" max="12541" width="11.42578125" style="621"/>
    <col min="12542" max="12542" width="62" style="621" customWidth="1"/>
    <col min="12543" max="12578" width="11.7109375" style="621" customWidth="1"/>
    <col min="12579" max="12797" width="11.42578125" style="621"/>
    <col min="12798" max="12798" width="62" style="621" customWidth="1"/>
    <col min="12799" max="12834" width="11.7109375" style="621" customWidth="1"/>
    <col min="12835" max="13053" width="11.42578125" style="621"/>
    <col min="13054" max="13054" width="62" style="621" customWidth="1"/>
    <col min="13055" max="13090" width="11.7109375" style="621" customWidth="1"/>
    <col min="13091" max="13309" width="11.42578125" style="621"/>
    <col min="13310" max="13310" width="62" style="621" customWidth="1"/>
    <col min="13311" max="13346" width="11.7109375" style="621" customWidth="1"/>
    <col min="13347" max="13565" width="11.42578125" style="621"/>
    <col min="13566" max="13566" width="62" style="621" customWidth="1"/>
    <col min="13567" max="13602" width="11.7109375" style="621" customWidth="1"/>
    <col min="13603" max="13821" width="11.42578125" style="621"/>
    <col min="13822" max="13822" width="62" style="621" customWidth="1"/>
    <col min="13823" max="13858" width="11.7109375" style="621" customWidth="1"/>
    <col min="13859" max="14077" width="11.42578125" style="621"/>
    <col min="14078" max="14078" width="62" style="621" customWidth="1"/>
    <col min="14079" max="14114" width="11.7109375" style="621" customWidth="1"/>
    <col min="14115" max="14333" width="11.42578125" style="621"/>
    <col min="14334" max="14334" width="62" style="621" customWidth="1"/>
    <col min="14335" max="14370" width="11.7109375" style="621" customWidth="1"/>
    <col min="14371" max="14589" width="11.42578125" style="621"/>
    <col min="14590" max="14590" width="62" style="621" customWidth="1"/>
    <col min="14591" max="14626" width="11.7109375" style="621" customWidth="1"/>
    <col min="14627" max="14845" width="11.42578125" style="621"/>
    <col min="14846" max="14846" width="62" style="621" customWidth="1"/>
    <col min="14847" max="14882" width="11.7109375" style="621" customWidth="1"/>
    <col min="14883" max="15101" width="11.42578125" style="621"/>
    <col min="15102" max="15102" width="62" style="621" customWidth="1"/>
    <col min="15103" max="15138" width="11.7109375" style="621" customWidth="1"/>
    <col min="15139" max="15357" width="11.42578125" style="621"/>
    <col min="15358" max="15358" width="62" style="621" customWidth="1"/>
    <col min="15359" max="15394" width="11.7109375" style="621" customWidth="1"/>
    <col min="15395" max="15613" width="11.42578125" style="621"/>
    <col min="15614" max="15614" width="62" style="621" customWidth="1"/>
    <col min="15615" max="15650" width="11.7109375" style="621" customWidth="1"/>
    <col min="15651" max="15869" width="11.42578125" style="621"/>
    <col min="15870" max="15870" width="62" style="621" customWidth="1"/>
    <col min="15871" max="15906" width="11.7109375" style="621" customWidth="1"/>
    <col min="15907" max="16125" width="11.42578125" style="621"/>
    <col min="16126" max="16126" width="62" style="621" customWidth="1"/>
    <col min="16127" max="16162" width="11.7109375" style="621" customWidth="1"/>
    <col min="16163" max="16384" width="11.42578125" style="621"/>
  </cols>
  <sheetData>
    <row r="1" spans="1:51" ht="20.25" x14ac:dyDescent="0.3">
      <c r="A1" s="620" t="s">
        <v>177</v>
      </c>
      <c r="B1" s="73" t="s">
        <v>52</v>
      </c>
      <c r="AI1" s="622"/>
    </row>
    <row r="2" spans="1:51" ht="20.25" x14ac:dyDescent="0.3">
      <c r="A2" s="620" t="s">
        <v>275</v>
      </c>
      <c r="AI2" s="622"/>
    </row>
    <row r="3" spans="1:51" ht="18.75" x14ac:dyDescent="0.3">
      <c r="A3" s="623" t="s">
        <v>343</v>
      </c>
      <c r="AI3" s="624"/>
    </row>
    <row r="4" spans="1:51" ht="18.75" x14ac:dyDescent="0.3">
      <c r="A4" s="625" t="s">
        <v>414</v>
      </c>
      <c r="B4" s="626"/>
      <c r="C4" s="627"/>
      <c r="D4" s="628"/>
      <c r="E4" s="626"/>
      <c r="F4" s="627"/>
      <c r="G4" s="628"/>
      <c r="H4" s="627"/>
      <c r="I4" s="627"/>
      <c r="J4" s="628"/>
      <c r="K4" s="626"/>
      <c r="L4" s="627"/>
      <c r="M4" s="628"/>
      <c r="N4" s="626"/>
      <c r="O4" s="627"/>
      <c r="P4" s="628"/>
      <c r="Q4" s="626"/>
      <c r="R4" s="627"/>
      <c r="S4" s="628"/>
      <c r="T4" s="626"/>
      <c r="U4" s="627"/>
      <c r="V4" s="628"/>
      <c r="W4" s="626"/>
      <c r="X4" s="627"/>
      <c r="Y4" s="628"/>
      <c r="Z4" s="626"/>
      <c r="AA4" s="627"/>
      <c r="AB4" s="628"/>
      <c r="AC4" s="626"/>
      <c r="AD4" s="627"/>
      <c r="AE4" s="628"/>
      <c r="AF4" s="626"/>
      <c r="AG4" s="629"/>
      <c r="AH4" s="628"/>
      <c r="AI4" s="630"/>
      <c r="AJ4" s="631"/>
      <c r="AK4" s="631"/>
      <c r="AL4" s="631"/>
      <c r="AM4" s="631"/>
      <c r="AN4" s="631"/>
      <c r="AO4" s="631"/>
      <c r="AP4" s="631"/>
      <c r="AQ4" s="631"/>
      <c r="AR4" s="631"/>
      <c r="AS4" s="631"/>
      <c r="AT4" s="631"/>
      <c r="AU4" s="631"/>
      <c r="AV4" s="631"/>
      <c r="AW4" s="631"/>
      <c r="AX4" s="631"/>
      <c r="AY4" s="631"/>
    </row>
    <row r="5" spans="1:51" ht="18.75" x14ac:dyDescent="0.3">
      <c r="A5" s="632"/>
      <c r="B5" s="721" t="s">
        <v>180</v>
      </c>
      <c r="C5" s="722"/>
      <c r="D5" s="723"/>
      <c r="E5" s="721" t="s">
        <v>181</v>
      </c>
      <c r="F5" s="722"/>
      <c r="G5" s="723"/>
      <c r="H5" s="722" t="s">
        <v>182</v>
      </c>
      <c r="I5" s="722"/>
      <c r="J5" s="723"/>
      <c r="K5" s="721" t="s">
        <v>183</v>
      </c>
      <c r="L5" s="722"/>
      <c r="M5" s="723"/>
      <c r="N5" s="633" t="s">
        <v>184</v>
      </c>
      <c r="O5" s="634"/>
      <c r="P5" s="635"/>
      <c r="Q5" s="721" t="s">
        <v>63</v>
      </c>
      <c r="R5" s="722"/>
      <c r="S5" s="723"/>
      <c r="T5" s="633"/>
      <c r="U5" s="634"/>
      <c r="V5" s="635"/>
      <c r="W5" s="721" t="s">
        <v>185</v>
      </c>
      <c r="X5" s="722"/>
      <c r="Y5" s="723"/>
      <c r="Z5" s="721"/>
      <c r="AA5" s="722"/>
      <c r="AB5" s="723"/>
      <c r="AC5" s="721" t="s">
        <v>75</v>
      </c>
      <c r="AD5" s="722"/>
      <c r="AE5" s="723"/>
      <c r="AF5" s="721" t="s">
        <v>293</v>
      </c>
      <c r="AG5" s="722"/>
      <c r="AH5" s="723"/>
      <c r="AI5" s="636"/>
      <c r="AJ5" s="637"/>
      <c r="AK5" s="724"/>
      <c r="AL5" s="724"/>
      <c r="AM5" s="724"/>
      <c r="AN5" s="724"/>
      <c r="AO5" s="724"/>
      <c r="AP5" s="724"/>
      <c r="AQ5" s="724"/>
      <c r="AR5" s="724"/>
      <c r="AS5" s="724"/>
      <c r="AT5" s="724"/>
      <c r="AU5" s="724"/>
      <c r="AV5" s="724"/>
      <c r="AW5" s="724"/>
      <c r="AX5" s="724"/>
      <c r="AY5" s="724"/>
    </row>
    <row r="6" spans="1:51" ht="18.75" x14ac:dyDescent="0.3">
      <c r="A6" s="638"/>
      <c r="B6" s="725" t="s">
        <v>186</v>
      </c>
      <c r="C6" s="726"/>
      <c r="D6" s="727"/>
      <c r="E6" s="725" t="s">
        <v>187</v>
      </c>
      <c r="F6" s="726"/>
      <c r="G6" s="727"/>
      <c r="H6" s="726" t="s">
        <v>187</v>
      </c>
      <c r="I6" s="726"/>
      <c r="J6" s="727"/>
      <c r="K6" s="725" t="s">
        <v>188</v>
      </c>
      <c r="L6" s="726"/>
      <c r="M6" s="727"/>
      <c r="N6" s="725" t="s">
        <v>63</v>
      </c>
      <c r="O6" s="726"/>
      <c r="P6" s="727"/>
      <c r="Q6" s="725" t="s">
        <v>189</v>
      </c>
      <c r="R6" s="726"/>
      <c r="S6" s="727"/>
      <c r="T6" s="725" t="s">
        <v>68</v>
      </c>
      <c r="U6" s="726"/>
      <c r="V6" s="727"/>
      <c r="W6" s="725" t="s">
        <v>186</v>
      </c>
      <c r="X6" s="726"/>
      <c r="Y6" s="727"/>
      <c r="Z6" s="725" t="s">
        <v>70</v>
      </c>
      <c r="AA6" s="726"/>
      <c r="AB6" s="727"/>
      <c r="AC6" s="725" t="s">
        <v>187</v>
      </c>
      <c r="AD6" s="726"/>
      <c r="AE6" s="727"/>
      <c r="AF6" s="725" t="s">
        <v>294</v>
      </c>
      <c r="AG6" s="726"/>
      <c r="AH6" s="727"/>
      <c r="AI6" s="636"/>
      <c r="AJ6" s="637"/>
      <c r="AK6" s="724"/>
      <c r="AL6" s="724"/>
      <c r="AM6" s="724"/>
      <c r="AN6" s="724"/>
      <c r="AO6" s="724"/>
      <c r="AP6" s="724"/>
      <c r="AQ6" s="724"/>
      <c r="AR6" s="724"/>
      <c r="AS6" s="724"/>
      <c r="AT6" s="724"/>
      <c r="AU6" s="724"/>
      <c r="AV6" s="724"/>
      <c r="AW6" s="724"/>
      <c r="AX6" s="724"/>
      <c r="AY6" s="724"/>
    </row>
    <row r="7" spans="1:51" ht="18.75" x14ac:dyDescent="0.3">
      <c r="A7" s="638"/>
      <c r="B7" s="639"/>
      <c r="C7" s="639"/>
      <c r="D7" s="640" t="s">
        <v>83</v>
      </c>
      <c r="E7" s="639"/>
      <c r="F7" s="639"/>
      <c r="G7" s="640" t="s">
        <v>83</v>
      </c>
      <c r="H7" s="639"/>
      <c r="I7" s="639"/>
      <c r="J7" s="640" t="s">
        <v>83</v>
      </c>
      <c r="K7" s="639"/>
      <c r="L7" s="639"/>
      <c r="M7" s="640" t="s">
        <v>83</v>
      </c>
      <c r="N7" s="639"/>
      <c r="O7" s="639"/>
      <c r="P7" s="640" t="s">
        <v>83</v>
      </c>
      <c r="Q7" s="639"/>
      <c r="R7" s="639"/>
      <c r="S7" s="640" t="s">
        <v>83</v>
      </c>
      <c r="T7" s="639"/>
      <c r="U7" s="639"/>
      <c r="V7" s="640" t="s">
        <v>83</v>
      </c>
      <c r="W7" s="639"/>
      <c r="X7" s="639"/>
      <c r="Y7" s="640" t="s">
        <v>83</v>
      </c>
      <c r="Z7" s="639"/>
      <c r="AA7" s="639"/>
      <c r="AB7" s="640" t="s">
        <v>83</v>
      </c>
      <c r="AC7" s="639"/>
      <c r="AD7" s="639"/>
      <c r="AE7" s="640" t="s">
        <v>83</v>
      </c>
      <c r="AF7" s="639"/>
      <c r="AG7" s="639"/>
      <c r="AH7" s="640" t="s">
        <v>83</v>
      </c>
      <c r="AI7" s="636"/>
      <c r="AJ7" s="637"/>
      <c r="AK7" s="637"/>
      <c r="AL7" s="637"/>
      <c r="AM7" s="637"/>
      <c r="AN7" s="637"/>
      <c r="AO7" s="637"/>
      <c r="AP7" s="637"/>
      <c r="AQ7" s="637"/>
      <c r="AR7" s="637"/>
      <c r="AS7" s="637"/>
      <c r="AT7" s="637"/>
      <c r="AU7" s="637"/>
      <c r="AV7" s="637"/>
      <c r="AW7" s="637"/>
      <c r="AX7" s="637"/>
      <c r="AY7" s="637"/>
    </row>
    <row r="8" spans="1:51" ht="15.75" x14ac:dyDescent="0.25">
      <c r="A8" s="641" t="s">
        <v>296</v>
      </c>
      <c r="B8" s="642">
        <v>2018</v>
      </c>
      <c r="C8" s="642">
        <v>2019</v>
      </c>
      <c r="D8" s="643" t="s">
        <v>85</v>
      </c>
      <c r="E8" s="642">
        <v>2018</v>
      </c>
      <c r="F8" s="642">
        <v>2019</v>
      </c>
      <c r="G8" s="643" t="s">
        <v>85</v>
      </c>
      <c r="H8" s="642">
        <v>2018</v>
      </c>
      <c r="I8" s="642">
        <v>2019</v>
      </c>
      <c r="J8" s="643" t="s">
        <v>85</v>
      </c>
      <c r="K8" s="642">
        <v>2018</v>
      </c>
      <c r="L8" s="642">
        <v>2019</v>
      </c>
      <c r="M8" s="643" t="s">
        <v>85</v>
      </c>
      <c r="N8" s="642">
        <v>2018</v>
      </c>
      <c r="O8" s="642">
        <v>2019</v>
      </c>
      <c r="P8" s="643" t="s">
        <v>85</v>
      </c>
      <c r="Q8" s="642">
        <v>2018</v>
      </c>
      <c r="R8" s="642">
        <v>2019</v>
      </c>
      <c r="S8" s="643" t="s">
        <v>85</v>
      </c>
      <c r="T8" s="642">
        <v>2018</v>
      </c>
      <c r="U8" s="642">
        <v>2019</v>
      </c>
      <c r="V8" s="643" t="s">
        <v>85</v>
      </c>
      <c r="W8" s="642">
        <v>2018</v>
      </c>
      <c r="X8" s="642">
        <v>2019</v>
      </c>
      <c r="Y8" s="643" t="s">
        <v>85</v>
      </c>
      <c r="Z8" s="642">
        <v>2018</v>
      </c>
      <c r="AA8" s="642">
        <v>2019</v>
      </c>
      <c r="AB8" s="643" t="s">
        <v>85</v>
      </c>
      <c r="AC8" s="642">
        <v>2018</v>
      </c>
      <c r="AD8" s="642">
        <v>2019</v>
      </c>
      <c r="AE8" s="643" t="s">
        <v>85</v>
      </c>
      <c r="AF8" s="642">
        <v>2018</v>
      </c>
      <c r="AG8" s="642">
        <v>2019</v>
      </c>
      <c r="AH8" s="643" t="s">
        <v>85</v>
      </c>
      <c r="AI8" s="636"/>
      <c r="AJ8" s="644"/>
      <c r="AK8" s="645"/>
      <c r="AL8" s="645"/>
      <c r="AM8" s="644"/>
      <c r="AN8" s="645"/>
      <c r="AO8" s="645"/>
      <c r="AP8" s="644"/>
      <c r="AQ8" s="645"/>
      <c r="AR8" s="645"/>
      <c r="AS8" s="644"/>
      <c r="AT8" s="645"/>
      <c r="AU8" s="645"/>
      <c r="AV8" s="644"/>
      <c r="AW8" s="645"/>
      <c r="AX8" s="645"/>
      <c r="AY8" s="644"/>
    </row>
    <row r="9" spans="1:51" s="651" customFormat="1" ht="18.75" x14ac:dyDescent="0.3">
      <c r="A9" s="646"/>
      <c r="B9" s="649"/>
      <c r="C9" s="662"/>
      <c r="D9" s="647"/>
      <c r="E9" s="649"/>
      <c r="F9" s="573"/>
      <c r="G9" s="573"/>
      <c r="H9" s="575"/>
      <c r="I9" s="573"/>
      <c r="J9" s="573"/>
      <c r="K9" s="648"/>
      <c r="L9" s="570"/>
      <c r="M9" s="573"/>
      <c r="N9" s="575"/>
      <c r="O9" s="573"/>
      <c r="P9" s="573"/>
      <c r="Q9" s="648"/>
      <c r="R9" s="570"/>
      <c r="S9" s="573"/>
      <c r="T9" s="648"/>
      <c r="U9" s="570"/>
      <c r="V9" s="573"/>
      <c r="W9" s="575"/>
      <c r="X9" s="573"/>
      <c r="Y9" s="573"/>
      <c r="Z9" s="575"/>
      <c r="AA9" s="573"/>
      <c r="AB9" s="573"/>
      <c r="AC9" s="575"/>
      <c r="AD9" s="573"/>
      <c r="AE9" s="573"/>
      <c r="AF9" s="649"/>
      <c r="AG9" s="647"/>
      <c r="AH9" s="647"/>
      <c r="AI9" s="650"/>
      <c r="AJ9" s="650"/>
    </row>
    <row r="10" spans="1:51" s="656" customFormat="1" ht="18.75" x14ac:dyDescent="0.3">
      <c r="A10" s="652" t="s">
        <v>417</v>
      </c>
      <c r="B10" s="575"/>
      <c r="C10" s="573"/>
      <c r="D10" s="653"/>
      <c r="E10" s="575"/>
      <c r="F10" s="573"/>
      <c r="G10" s="573"/>
      <c r="H10" s="575"/>
      <c r="I10" s="573"/>
      <c r="J10" s="573"/>
      <c r="K10" s="648"/>
      <c r="L10" s="570"/>
      <c r="M10" s="573"/>
      <c r="N10" s="575"/>
      <c r="O10" s="573"/>
      <c r="P10" s="573"/>
      <c r="Q10" s="648"/>
      <c r="R10" s="570"/>
      <c r="S10" s="573"/>
      <c r="T10" s="648"/>
      <c r="U10" s="570"/>
      <c r="V10" s="573"/>
      <c r="W10" s="648"/>
      <c r="X10" s="570"/>
      <c r="Y10" s="573"/>
      <c r="Z10" s="648"/>
      <c r="AA10" s="570"/>
      <c r="AB10" s="573"/>
      <c r="AC10" s="648"/>
      <c r="AD10" s="570"/>
      <c r="AE10" s="573"/>
      <c r="AF10" s="575"/>
      <c r="AG10" s="653"/>
      <c r="AH10" s="654"/>
      <c r="AI10" s="655"/>
      <c r="AJ10" s="655"/>
    </row>
    <row r="11" spans="1:51" s="656" customFormat="1" ht="22.5" x14ac:dyDescent="0.3">
      <c r="A11" s="652" t="s">
        <v>418</v>
      </c>
      <c r="B11" s="575">
        <v>1.3</v>
      </c>
      <c r="C11" s="573">
        <v>0.66</v>
      </c>
      <c r="D11" s="654">
        <f>IF(B11=0, "    ---- ", IF(ABS(ROUND(100/B11*C11-100,1))&lt;999,ROUND(100/B11*C11-100,1),IF(ROUND(100/B11*C11-100,1)&gt;999,999,-999)))</f>
        <v>-49.2</v>
      </c>
      <c r="E11" s="575">
        <v>1.82</v>
      </c>
      <c r="F11" s="573">
        <f>0.0197*100</f>
        <v>1.97</v>
      </c>
      <c r="G11" s="574">
        <f>IF(E11=0, "    ---- ", IF(ABS(ROUND(100/E11*F11-100,1))&lt;999,ROUND(100/E11*F11-100,1),IF(ROUND(100/E11*F11-100,1)&gt;999,999,-999)))</f>
        <v>8.1999999999999993</v>
      </c>
      <c r="H11" s="575"/>
      <c r="I11" s="573"/>
      <c r="J11" s="573"/>
      <c r="K11" s="648">
        <v>3.02</v>
      </c>
      <c r="L11" s="570">
        <v>2.2999999999999998</v>
      </c>
      <c r="M11" s="574">
        <f>IF(K11=0, "    ---- ", IF(ABS(ROUND(100/K11*L11-100,1))&lt;999,ROUND(100/K11*L11-100,1),IF(ROUND(100/K11*L11-100,1)&gt;999,999,-999)))</f>
        <v>-23.8</v>
      </c>
      <c r="N11" s="575">
        <v>2.29</v>
      </c>
      <c r="O11" s="573">
        <v>2.0299999999999998</v>
      </c>
      <c r="P11" s="574">
        <f>IF(N11=0, "    ---- ", IF(ABS(ROUND(100/N11*O11-100,1))&lt;999,ROUND(100/N11*O11-100,1),IF(ROUND(100/N11*O11-100,1)&gt;999,999,-999)))</f>
        <v>-11.4</v>
      </c>
      <c r="Q11" s="648">
        <v>2.5499999999999998</v>
      </c>
      <c r="R11" s="570">
        <v>1.62</v>
      </c>
      <c r="S11" s="574">
        <f>IF(Q11=0, "    ---- ", IF(ABS(ROUND(100/Q11*R11-100,1))&lt;999,ROUND(100/Q11*R11-100,1),IF(ROUND(100/Q11*R11-100,1)&gt;999,999,-999)))</f>
        <v>-36.5</v>
      </c>
      <c r="T11" s="648">
        <v>2</v>
      </c>
      <c r="U11" s="570">
        <v>1.6</v>
      </c>
      <c r="V11" s="574">
        <f>IF(T11=0, "    ---- ", IF(ABS(ROUND(100/T11*U11-100,1))&lt;999,ROUND(100/T11*U11-100,1),IF(ROUND(100/T11*U11-100,1)&gt;999,999,-999)))</f>
        <v>-20</v>
      </c>
      <c r="W11" s="648"/>
      <c r="X11" s="570">
        <v>0.9</v>
      </c>
      <c r="Y11" s="574" t="str">
        <f>IF(W11=0, "    ---- ", IF(ABS(ROUND(100/W11*X11-100,1))&lt;999,ROUND(100/W11*X11-100,1),IF(ROUND(100/W11*X11-100,1)&gt;999,999,-999)))</f>
        <v xml:space="preserve">    ---- </v>
      </c>
      <c r="Z11" s="648">
        <v>2.2344490502446601</v>
      </c>
      <c r="AA11" s="570">
        <v>5.1649486562380202</v>
      </c>
      <c r="AB11" s="574">
        <f>IF(Z11=0, "    ---- ", IF(ABS(ROUND(100/Z11*AA11-100,1))&lt;999,ROUND(100/Z11*AA11-100,1),IF(ROUND(100/Z11*AA11-100,1)&gt;999,999,-999)))</f>
        <v>131.19999999999999</v>
      </c>
      <c r="AC11" s="648">
        <v>1.88</v>
      </c>
      <c r="AD11" s="570">
        <v>1.73</v>
      </c>
      <c r="AE11" s="574">
        <f>IF(AC11=0, "    ---- ", IF(ABS(ROUND(100/AC11*AD11-100,1))&lt;999,ROUND(100/AC11*AD11-100,1),IF(ROUND(100/AC11*AD11-100,1)&gt;999,999,-999)))</f>
        <v>-8</v>
      </c>
      <c r="AF11" s="567"/>
      <c r="AG11" s="567"/>
      <c r="AH11" s="654" t="str">
        <f>IF(AF11=0, "    ---- ", IF(ABS(ROUND(100/AF11*AG11-100,1))&lt;999,ROUND(100/AF11*AG11-100,1),IF(ROUND(100/AF11*AG11-100,1)&gt;999,999,-999)))</f>
        <v xml:space="preserve">    ---- </v>
      </c>
      <c r="AI11" s="655"/>
      <c r="AJ11" s="655"/>
    </row>
    <row r="12" spans="1:51" s="656" customFormat="1" ht="18.75" x14ac:dyDescent="0.3">
      <c r="A12" s="652" t="s">
        <v>419</v>
      </c>
      <c r="B12" s="575">
        <v>0.48</v>
      </c>
      <c r="C12" s="573">
        <v>3.02</v>
      </c>
      <c r="D12" s="654">
        <f>IF(B12=0, "    ---- ", IF(ABS(ROUND(100/B12*C12-100,1))&lt;999,ROUND(100/B12*C12-100,1),IF(ROUND(100/B12*C12-100,1)&gt;999,999,-999)))</f>
        <v>529.20000000000005</v>
      </c>
      <c r="E12" s="575">
        <v>1.76</v>
      </c>
      <c r="F12" s="573">
        <f>0.0333*100</f>
        <v>3.3300000000000005</v>
      </c>
      <c r="G12" s="574">
        <f>IF(E12=0, "    ---- ", IF(ABS(ROUND(100/E12*F12-100,1))&lt;999,ROUND(100/E12*F12-100,1),IF(ROUND(100/E12*F12-100,1)&gt;999,999,-999)))</f>
        <v>89.2</v>
      </c>
      <c r="H12" s="575"/>
      <c r="I12" s="573"/>
      <c r="J12" s="573"/>
      <c r="K12" s="648">
        <v>1.86</v>
      </c>
      <c r="L12" s="570">
        <v>2.14</v>
      </c>
      <c r="M12" s="574">
        <f>IF(K12=0, "    ---- ", IF(ABS(ROUND(100/K12*L12-100,1))&lt;999,ROUND(100/K12*L12-100,1),IF(ROUND(100/K12*L12-100,1)&gt;999,999,-999)))</f>
        <v>15.1</v>
      </c>
      <c r="N12" s="575">
        <v>1.31</v>
      </c>
      <c r="O12" s="573">
        <v>4.76</v>
      </c>
      <c r="P12" s="574">
        <f>IF(N12=0, "    ---- ", IF(ABS(ROUND(100/N12*O12-100,1))&lt;999,ROUND(100/N12*O12-100,1),IF(ROUND(100/N12*O12-100,1)&gt;999,999,-999)))</f>
        <v>263.39999999999998</v>
      </c>
      <c r="Q12" s="648">
        <v>1.41</v>
      </c>
      <c r="R12" s="570">
        <v>2</v>
      </c>
      <c r="S12" s="574">
        <f>IF(Q12=0, "    ---- ", IF(ABS(ROUND(100/Q12*R12-100,1))&lt;999,ROUND(100/Q12*R12-100,1),IF(ROUND(100/Q12*R12-100,1)&gt;999,999,-999)))</f>
        <v>41.8</v>
      </c>
      <c r="T12" s="648">
        <v>1.9</v>
      </c>
      <c r="U12" s="570">
        <v>2.9</v>
      </c>
      <c r="V12" s="574">
        <f>IF(T12=0, "    ---- ", IF(ABS(ROUND(100/T12*U12-100,1))&lt;999,ROUND(100/T12*U12-100,1),IF(ROUND(100/T12*U12-100,1)&gt;999,999,-999)))</f>
        <v>52.6</v>
      </c>
      <c r="W12" s="648">
        <v>2.15</v>
      </c>
      <c r="X12" s="570">
        <v>5.36</v>
      </c>
      <c r="Y12" s="574">
        <f>IF(W12=0, "    ---- ", IF(ABS(ROUND(100/W12*X12-100,1))&lt;999,ROUND(100/W12*X12-100,1),IF(ROUND(100/W12*X12-100,1)&gt;999,999,-999)))</f>
        <v>149.30000000000001</v>
      </c>
      <c r="Z12" s="648">
        <v>1.78756400348667</v>
      </c>
      <c r="AA12" s="570">
        <v>7.7457188450108703</v>
      </c>
      <c r="AB12" s="574">
        <f>IF(Z12=0, "    ---- ", IF(ABS(ROUND(100/Z12*AA12-100,1))&lt;999,ROUND(100/Z12*AA12-100,1),IF(ROUND(100/Z12*AA12-100,1)&gt;999,999,-999)))</f>
        <v>333.3</v>
      </c>
      <c r="AC12" s="648">
        <v>1.31</v>
      </c>
      <c r="AD12" s="570">
        <v>3.27</v>
      </c>
      <c r="AE12" s="574">
        <f>IF(AC12=0, "    ---- ", IF(ABS(ROUND(100/AC12*AD12-100,1))&lt;999,ROUND(100/AC12*AD12-100,1),IF(ROUND(100/AC12*AD12-100,1)&gt;999,999,-999)))</f>
        <v>149.6</v>
      </c>
      <c r="AF12" s="567"/>
      <c r="AG12" s="567"/>
      <c r="AH12" s="654" t="str">
        <f>IF(AF12=0, "    ---- ", IF(ABS(ROUND(100/AF12*AG12-100,1))&lt;999,ROUND(100/AF12*AG12-100,1),IF(ROUND(100/AF12*AG12-100,1)&gt;999,999,-999)))</f>
        <v xml:space="preserve">    ---- </v>
      </c>
      <c r="AI12" s="655"/>
      <c r="AJ12" s="655"/>
    </row>
    <row r="13" spans="1:51" s="656" customFormat="1" ht="18.75" x14ac:dyDescent="0.3">
      <c r="A13" s="652"/>
      <c r="B13" s="575"/>
      <c r="C13" s="573"/>
      <c r="D13" s="653"/>
      <c r="E13" s="575"/>
      <c r="F13" s="573"/>
      <c r="G13" s="573"/>
      <c r="H13" s="575"/>
      <c r="I13" s="573"/>
      <c r="J13" s="573"/>
      <c r="K13" s="648"/>
      <c r="L13" s="570"/>
      <c r="M13" s="573"/>
      <c r="N13" s="575"/>
      <c r="O13" s="573"/>
      <c r="P13" s="573"/>
      <c r="Q13" s="648"/>
      <c r="R13" s="570"/>
      <c r="S13" s="573"/>
      <c r="T13" s="648"/>
      <c r="U13" s="570"/>
      <c r="V13" s="573"/>
      <c r="W13" s="648"/>
      <c r="X13" s="570"/>
      <c r="Y13" s="573"/>
      <c r="Z13" s="648"/>
      <c r="AA13" s="570"/>
      <c r="AB13" s="573"/>
      <c r="AC13" s="648"/>
      <c r="AD13" s="570"/>
      <c r="AE13" s="573"/>
      <c r="AF13" s="575"/>
      <c r="AG13" s="575"/>
      <c r="AH13" s="653"/>
      <c r="AI13" s="655"/>
      <c r="AJ13" s="655"/>
    </row>
    <row r="14" spans="1:51" s="656" customFormat="1" ht="18.75" x14ac:dyDescent="0.3">
      <c r="A14" s="652" t="s">
        <v>420</v>
      </c>
      <c r="B14" s="575"/>
      <c r="C14" s="573"/>
      <c r="D14" s="654"/>
      <c r="E14" s="575">
        <v>23.53</v>
      </c>
      <c r="F14" s="573">
        <v>24.44</v>
      </c>
      <c r="G14" s="574">
        <f>IF(E14=0, "    ---- ", IF(ABS(ROUND(100/E14*F14-100,1))&lt;999,ROUND(100/E14*F14-100,1),IF(ROUND(100/E14*F14-100,1)&gt;999,999,-999)))</f>
        <v>3.9</v>
      </c>
      <c r="H14" s="575">
        <v>30.2</v>
      </c>
      <c r="I14" s="573">
        <v>32.4</v>
      </c>
      <c r="J14" s="574">
        <f>IF(H14=0, "    ---- ", IF(ABS(ROUND(100/H14*I14-100,1))&lt;999,ROUND(100/H14*I14-100,1),IF(ROUND(100/H14*I14-100,1)&gt;999,999,-999)))</f>
        <v>7.3</v>
      </c>
      <c r="K14" s="648">
        <v>18.940000000000001</v>
      </c>
      <c r="L14" s="570">
        <v>18.86</v>
      </c>
      <c r="M14" s="574">
        <f>IF(K14=0, "    ---- ", IF(ABS(ROUND(100/K14*L14-100,1))&lt;999,ROUND(100/K14*L14-100,1),IF(ROUND(100/K14*L14-100,1)&gt;999,999,-999)))</f>
        <v>-0.4</v>
      </c>
      <c r="N14" s="575">
        <v>26.4</v>
      </c>
      <c r="O14" s="573">
        <v>29.564652262635764</v>
      </c>
      <c r="P14" s="574">
        <f>IF(N14=0, "    ---- ", IF(ABS(ROUND(100/N14*O14-100,1))&lt;999,ROUND(100/N14*O14-100,1),IF(ROUND(100/N14*O14-100,1)&gt;999,999,-999)))</f>
        <v>12</v>
      </c>
      <c r="Q14" s="648">
        <v>42.6</v>
      </c>
      <c r="R14" s="570">
        <v>41.6</v>
      </c>
      <c r="S14" s="574">
        <f>IF(Q14=0, "    ---- ", IF(ABS(ROUND(100/Q14*R14-100,1))&lt;999,ROUND(100/Q14*R14-100,1),IF(ROUND(100/Q14*R14-100,1)&gt;999,999,-999)))</f>
        <v>-2.2999999999999998</v>
      </c>
      <c r="T14" s="648">
        <v>30.9</v>
      </c>
      <c r="U14" s="570">
        <v>34.299999999999997</v>
      </c>
      <c r="V14" s="574">
        <f>IF(T14=0, "    ---- ", IF(ABS(ROUND(100/T14*U14-100,1))&lt;999,ROUND(100/T14*U14-100,1),IF(ROUND(100/T14*U14-100,1)&gt;999,999,-999)))</f>
        <v>11</v>
      </c>
      <c r="W14" s="663">
        <v>44.223164064346378</v>
      </c>
      <c r="X14" s="573">
        <f>(1430+7548+1240+7503+13188+795)/(64648+2963)*100</f>
        <v>46.891777965124021</v>
      </c>
      <c r="Y14" s="574">
        <f>IF(W14=0, "    ---- ", IF(ABS(ROUND(100/W14*X14-100,1))&lt;999,ROUND(100/W14*X14-100,1),IF(ROUND(100/W14*X14-100,1)&gt;999,999,-999)))</f>
        <v>6</v>
      </c>
      <c r="Z14" s="648">
        <v>35.59823952927367</v>
      </c>
      <c r="AA14" s="570">
        <v>40.637601522813654</v>
      </c>
      <c r="AB14" s="574">
        <f>IF(Z14=0, "    ---- ", IF(ABS(ROUND(100/Z14*AA14-100,1))&lt;999,ROUND(100/Z14*AA14-100,1),IF(ROUND(100/Z14*AA14-100,1)&gt;999,999,-999)))</f>
        <v>14.2</v>
      </c>
      <c r="AC14" s="648">
        <v>23.4</v>
      </c>
      <c r="AD14" s="570">
        <v>24.1</v>
      </c>
      <c r="AE14" s="574">
        <f>IF(AC14=0, "    ---- ", IF(ABS(ROUND(100/AC14*AD14-100,1))&lt;999,ROUND(100/AC14*AD14-100,1),IF(ROUND(100/AC14*AD14-100,1)&gt;999,999,-999)))</f>
        <v>3</v>
      </c>
      <c r="AF14" s="567"/>
      <c r="AG14" s="567"/>
      <c r="AH14" s="654" t="str">
        <f>IF(AF14=0, "    ---- ", IF(ABS(ROUND(100/AF14*AG14-100,1))&lt;999,ROUND(100/AF14*AG14-100,1),IF(ROUND(100/AF14*AG14-100,1)&gt;999,999,-999)))</f>
        <v xml:space="preserve">    ---- </v>
      </c>
      <c r="AI14" s="655"/>
      <c r="AJ14" s="655"/>
    </row>
    <row r="15" spans="1:51" s="656" customFormat="1" ht="18.75" x14ac:dyDescent="0.3">
      <c r="A15" s="652"/>
      <c r="B15" s="575"/>
      <c r="C15" s="573"/>
      <c r="D15" s="653"/>
      <c r="E15" s="575"/>
      <c r="F15" s="573"/>
      <c r="G15" s="573"/>
      <c r="H15" s="575"/>
      <c r="I15" s="573"/>
      <c r="J15" s="573"/>
      <c r="K15" s="648"/>
      <c r="L15" s="570"/>
      <c r="M15" s="573"/>
      <c r="N15" s="575"/>
      <c r="O15" s="573"/>
      <c r="P15" s="573"/>
      <c r="Q15" s="648"/>
      <c r="R15" s="570"/>
      <c r="S15" s="573"/>
      <c r="T15" s="648"/>
      <c r="U15" s="570"/>
      <c r="V15" s="573"/>
      <c r="W15" s="648"/>
      <c r="X15" s="570"/>
      <c r="Y15" s="573"/>
      <c r="Z15" s="648"/>
      <c r="AA15" s="570"/>
      <c r="AB15" s="573"/>
      <c r="AC15" s="648"/>
      <c r="AD15" s="570"/>
      <c r="AE15" s="573"/>
      <c r="AF15" s="575"/>
      <c r="AG15" s="575"/>
      <c r="AH15" s="653"/>
      <c r="AI15" s="655"/>
      <c r="AJ15" s="655"/>
    </row>
    <row r="16" spans="1:51" s="656" customFormat="1" ht="18.75" x14ac:dyDescent="0.3">
      <c r="A16" s="652" t="s">
        <v>352</v>
      </c>
      <c r="B16" s="567">
        <v>35.264000000000003</v>
      </c>
      <c r="C16" s="574">
        <v>45.917000000000002</v>
      </c>
      <c r="D16" s="654">
        <f>IF(B16=0, "    ---- ", IF(ABS(ROUND(100/B16*C16-100,1))&lt;999,ROUND(100/B16*C16-100,1),IF(ROUND(100/B16*C16-100,1)&gt;999,999,-999)))</f>
        <v>30.2</v>
      </c>
      <c r="E16" s="567">
        <v>3200.43</v>
      </c>
      <c r="F16" s="574">
        <v>4272.933</v>
      </c>
      <c r="G16" s="574">
        <f>IF(E16=0, "    ---- ", IF(ABS(ROUND(100/E16*F16-100,1))&lt;999,ROUND(100/E16*F16-100,1),IF(ROUND(100/E16*F16-100,1)&gt;999,999,-999)))</f>
        <v>33.5</v>
      </c>
      <c r="H16" s="567"/>
      <c r="I16" s="574"/>
      <c r="J16" s="574"/>
      <c r="K16" s="566">
        <v>10</v>
      </c>
      <c r="L16" s="571">
        <v>19.399999999999999</v>
      </c>
      <c r="M16" s="574">
        <f>IF(K16=0, "    ---- ", IF(ABS(ROUND(100/K16*L16-100,1))&lt;999,ROUND(100/K16*L16-100,1),IF(ROUND(100/K16*L16-100,1)&gt;999,999,-999)))</f>
        <v>94</v>
      </c>
      <c r="N16" s="567">
        <v>38442.301187999998</v>
      </c>
      <c r="O16" s="574">
        <v>48089.418101249998</v>
      </c>
      <c r="P16" s="574">
        <f>IF(N16=0, "    ---- ", IF(ABS(ROUND(100/N16*O16-100,1))&lt;999,ROUND(100/N16*O16-100,1),IF(ROUND(100/N16*O16-100,1)&gt;999,999,-999)))</f>
        <v>25.1</v>
      </c>
      <c r="Q16" s="566">
        <v>13</v>
      </c>
      <c r="R16" s="571">
        <v>14</v>
      </c>
      <c r="S16" s="574">
        <f>IF(Q16=0, "    ---- ", IF(ABS(ROUND(100/Q16*R16-100,1))&lt;999,ROUND(100/Q16*R16-100,1),IF(ROUND(100/Q16*R16-100,1)&gt;999,999,-999)))</f>
        <v>7.7</v>
      </c>
      <c r="T16" s="566">
        <v>1337</v>
      </c>
      <c r="U16" s="571">
        <v>1663</v>
      </c>
      <c r="V16" s="574">
        <f>IF(T16=0, "    ---- ", IF(ABS(ROUND(100/T16*U16-100,1))&lt;999,ROUND(100/T16*U16-100,1),IF(ROUND(100/T16*U16-100,1)&gt;999,999,-999)))</f>
        <v>24.4</v>
      </c>
      <c r="W16" s="566">
        <v>10751</v>
      </c>
      <c r="X16" s="571">
        <v>13188</v>
      </c>
      <c r="Y16" s="574">
        <f>IF(W16=0, "    ---- ", IF(ABS(ROUND(100/W16*X16-100,1))&lt;999,ROUND(100/W16*X16-100,1),IF(ROUND(100/W16*X16-100,1)&gt;999,999,-999)))</f>
        <v>22.7</v>
      </c>
      <c r="Z16" s="566">
        <v>2187.9209999999998</v>
      </c>
      <c r="AA16" s="571">
        <v>2121.049</v>
      </c>
      <c r="AB16" s="574">
        <f>IF(Z16=0, "    ---- ", IF(ABS(ROUND(100/Z16*AA16-100,1))&lt;999,ROUND(100/Z16*AA16-100,1),IF(ROUND(100/Z16*AA16-100,1)&gt;999,999,-999)))</f>
        <v>-3.1</v>
      </c>
      <c r="AC16" s="566">
        <v>2313</v>
      </c>
      <c r="AD16" s="571">
        <v>5140</v>
      </c>
      <c r="AE16" s="574">
        <f>IF(AC16=0, "    ---- ", IF(ABS(ROUND(100/AC16*AD16-100,1))&lt;999,ROUND(100/AC16*AD16-100,1),IF(ROUND(100/AC16*AD16-100,1)&gt;999,999,-999)))</f>
        <v>122.2</v>
      </c>
      <c r="AF16" s="567">
        <f>B16+E16+H16+K16+N16+Q16+T16+W16+Z16+AC16</f>
        <v>58289.916188000003</v>
      </c>
      <c r="AG16" s="567">
        <f>C16+F16+I16+L16+O16+R16+U16+X16+AA16+AD16</f>
        <v>74553.717101249989</v>
      </c>
      <c r="AH16" s="654">
        <f>IF(AF16=0, "    ---- ", IF(ABS(ROUND(100/AF16*AG16-100,1))&lt;999,ROUND(100/AF16*AG16-100,1),IF(ROUND(100/AF16*AG16-100,1)&gt;999,999,-999)))</f>
        <v>27.9</v>
      </c>
      <c r="AI16" s="655"/>
      <c r="AJ16" s="655"/>
    </row>
    <row r="17" spans="1:36" s="656" customFormat="1" ht="18.75" x14ac:dyDescent="0.3">
      <c r="A17" s="652"/>
      <c r="B17" s="567"/>
      <c r="C17" s="574"/>
      <c r="D17" s="654"/>
      <c r="E17" s="567"/>
      <c r="F17" s="574"/>
      <c r="G17" s="574"/>
      <c r="H17" s="567"/>
      <c r="I17" s="574"/>
      <c r="J17" s="574"/>
      <c r="K17" s="566"/>
      <c r="L17" s="571"/>
      <c r="M17" s="574"/>
      <c r="N17" s="567"/>
      <c r="O17" s="574"/>
      <c r="P17" s="574"/>
      <c r="Q17" s="566"/>
      <c r="R17" s="571"/>
      <c r="S17" s="574"/>
      <c r="T17" s="566"/>
      <c r="U17" s="571"/>
      <c r="V17" s="574"/>
      <c r="W17" s="566"/>
      <c r="X17" s="571"/>
      <c r="Y17" s="574"/>
      <c r="Z17" s="566"/>
      <c r="AA17" s="571"/>
      <c r="AB17" s="574"/>
      <c r="AC17" s="566"/>
      <c r="AD17" s="571"/>
      <c r="AE17" s="574"/>
      <c r="AF17" s="567"/>
      <c r="AG17" s="567"/>
      <c r="AH17" s="654"/>
      <c r="AI17" s="655"/>
      <c r="AJ17" s="655"/>
    </row>
    <row r="18" spans="1:36" s="656" customFormat="1" ht="18.75" x14ac:dyDescent="0.3">
      <c r="A18" s="657" t="s">
        <v>421</v>
      </c>
      <c r="B18" s="576"/>
      <c r="C18" s="577"/>
      <c r="D18" s="658"/>
      <c r="E18" s="576">
        <v>6344.0924655899998</v>
      </c>
      <c r="F18" s="577">
        <v>6582.692</v>
      </c>
      <c r="G18" s="577">
        <f>IF(E18=0, "    ---- ", IF(ABS(ROUND(100/E18*F18-100,1))&lt;999,ROUND(100/E18*F18-100,1),IF(ROUND(100/E18*F18-100,1)&gt;999,999,-999)))</f>
        <v>3.8</v>
      </c>
      <c r="H18" s="576"/>
      <c r="I18" s="577"/>
      <c r="J18" s="577"/>
      <c r="K18" s="542"/>
      <c r="L18" s="543"/>
      <c r="M18" s="577"/>
      <c r="N18" s="576">
        <v>502</v>
      </c>
      <c r="O18" s="577">
        <v>691.26632307353998</v>
      </c>
      <c r="P18" s="577">
        <f>IF(N18=0, "    ---- ", IF(ABS(ROUND(100/N18*O18-100,1))&lt;999,ROUND(100/N18*O18-100,1),IF(ROUND(100/N18*O18-100,1)&gt;999,999,-999)))</f>
        <v>37.700000000000003</v>
      </c>
      <c r="Q18" s="659">
        <v>41</v>
      </c>
      <c r="R18" s="572">
        <v>58</v>
      </c>
      <c r="S18" s="577">
        <f>IF(Q18=0, "    ---- ", IF(ABS(ROUND(100/Q18*R18-100,1))&lt;999,ROUND(100/Q18*R18-100,1),IF(ROUND(100/Q18*R18-100,1)&gt;999,999,-999)))</f>
        <v>41.5</v>
      </c>
      <c r="T18" s="659">
        <v>1275</v>
      </c>
      <c r="U18" s="572">
        <v>1819</v>
      </c>
      <c r="V18" s="577">
        <f>IF(T18=0, "    ---- ", IF(ABS(ROUND(100/T18*U18-100,1))&lt;999,ROUND(100/T18*U18-100,1),IF(ROUND(100/T18*U18-100,1)&gt;999,999,-999)))</f>
        <v>42.7</v>
      </c>
      <c r="W18" s="659">
        <v>788</v>
      </c>
      <c r="X18" s="572">
        <v>795</v>
      </c>
      <c r="Y18" s="577">
        <f>IF(W18=0, "    ---- ", IF(ABS(ROUND(100/W18*X18-100,1))&lt;999,ROUND(100/W18*X18-100,1),IF(ROUND(100/W18*X18-100,1)&gt;999,999,-999)))</f>
        <v>0.9</v>
      </c>
      <c r="Z18" s="659">
        <v>32.664000000000001</v>
      </c>
      <c r="AA18" s="572">
        <v>46.665999999999997</v>
      </c>
      <c r="AB18" s="577">
        <f>IF(Z18=0, "    ---- ", IF(ABS(ROUND(100/Z18*AA18-100,1))&lt;999,ROUND(100/Z18*AA18-100,1),IF(ROUND(100/Z18*AA18-100,1)&gt;999,999,-999)))</f>
        <v>42.9</v>
      </c>
      <c r="AC18" s="659">
        <v>6327</v>
      </c>
      <c r="AD18" s="572">
        <v>6076</v>
      </c>
      <c r="AE18" s="577">
        <f>IF(AC18=0, "    ---- ", IF(ABS(ROUND(100/AC18*AD18-100,1))&lt;999,ROUND(100/AC18*AD18-100,1),IF(ROUND(100/AC18*AD18-100,1)&gt;999,999,-999)))</f>
        <v>-4</v>
      </c>
      <c r="AF18" s="576">
        <f>B18+E18+H18+K18+N18+Q18+T18+W18+Z18+AC18</f>
        <v>15309.756465590001</v>
      </c>
      <c r="AG18" s="576">
        <f>C18+F18+I18+L18+O18+R18+U18+X18+AA18+AD18</f>
        <v>16068.62432307354</v>
      </c>
      <c r="AH18" s="658">
        <f>IF(AF18=0, "    ---- ", IF(ABS(ROUND(100/AF18*AG18-100,1))&lt;999,ROUND(100/AF18*AG18-100,1),IF(ROUND(100/AF18*AG18-100,1)&gt;999,999,-999)))</f>
        <v>5</v>
      </c>
      <c r="AI18" s="655"/>
      <c r="AJ18" s="655"/>
    </row>
    <row r="19" spans="1:36" ht="18.75" x14ac:dyDescent="0.3">
      <c r="A19" s="660"/>
      <c r="N19" s="661"/>
      <c r="T19" s="661"/>
      <c r="AC19" s="661"/>
      <c r="AF19" s="661"/>
      <c r="AJ19" s="636"/>
    </row>
    <row r="20" spans="1:36" ht="20.100000000000001" customHeight="1" x14ac:dyDescent="0.2"/>
    <row r="21" spans="1:36" ht="20.100000000000001" customHeight="1" x14ac:dyDescent="0.2"/>
    <row r="22" spans="1:36" ht="20.100000000000001" customHeight="1" x14ac:dyDescent="0.2"/>
    <row r="23" spans="1:36" ht="20.100000000000001" customHeight="1" x14ac:dyDescent="0.2"/>
    <row r="24" spans="1:36" ht="20.100000000000001" customHeight="1" x14ac:dyDescent="0.2"/>
    <row r="25" spans="1:36" ht="20.100000000000001" customHeight="1" x14ac:dyDescent="0.2"/>
    <row r="26" spans="1:36" ht="20.100000000000001" customHeight="1" x14ac:dyDescent="0.2"/>
    <row r="27" spans="1:36" ht="20.100000000000001" customHeight="1" x14ac:dyDescent="0.2"/>
    <row r="28" spans="1:36" ht="20.100000000000001" customHeight="1" x14ac:dyDescent="0.2"/>
    <row r="29" spans="1:36" ht="20.100000000000001" customHeight="1" x14ac:dyDescent="0.2"/>
    <row r="30" spans="1:36" ht="20.100000000000001" customHeight="1" x14ac:dyDescent="0.2"/>
    <row r="31" spans="1:36" ht="20.100000000000001" customHeight="1" x14ac:dyDescent="0.2"/>
    <row r="32" spans="1:36"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19.5" customHeight="1" x14ac:dyDescent="0.2"/>
    <row r="46" ht="19.5" customHeight="1" x14ac:dyDescent="0.2"/>
  </sheetData>
  <protectedRanges>
    <protectedRange sqref="C9:C10 C17:C18" name="Område1_12_1"/>
    <protectedRange sqref="C11:C16" name="Område1_1_1_1"/>
    <protectedRange sqref="B9:B10 B17:B18" name="Område1_12_2"/>
    <protectedRange sqref="B11:B16" name="Område1_1_1_2"/>
    <protectedRange sqref="E9:F10" name="Område1_13"/>
    <protectedRange sqref="E11:F18" name="Område1_2_1"/>
    <protectedRange sqref="H9:I13 H15:I18" name="Område1_13_1"/>
    <protectedRange sqref="H14:I14" name="Område1_4_1"/>
    <protectedRange sqref="K9:L10" name="Område1_9_1_1"/>
    <protectedRange sqref="K11:L18" name="Område1_7_1_1"/>
    <protectedRange sqref="N9:O10" name="Område1_13_2"/>
    <protectedRange sqref="N11:O18" name="Område1_3_1"/>
    <protectedRange sqref="T9:U10" name="Område1_13_3"/>
    <protectedRange sqref="T11:U18" name="Område1_5_1"/>
    <protectedRange sqref="W9:X10" name="Område1_13_4"/>
    <protectedRange sqref="W11:X18" name="Område1_6_1"/>
    <protectedRange sqref="Z9:AA18" name="Område1_11_1"/>
    <protectedRange sqref="AC9:AD10" name="Område1_10_1"/>
    <protectedRange sqref="AC11:AD18" name="Område1_8_1_1"/>
  </protectedRanges>
  <mergeCells count="30">
    <mergeCell ref="AT6:AV6"/>
    <mergeCell ref="AW6:AY6"/>
    <mergeCell ref="Z6:AB6"/>
    <mergeCell ref="AC6:AE6"/>
    <mergeCell ref="AF6:AH6"/>
    <mergeCell ref="AK6:AM6"/>
    <mergeCell ref="AN6:AP6"/>
    <mergeCell ref="AQ6:AS6"/>
    <mergeCell ref="AT5:AV5"/>
    <mergeCell ref="AW5:AY5"/>
    <mergeCell ref="B6:D6"/>
    <mergeCell ref="E6:G6"/>
    <mergeCell ref="H6:J6"/>
    <mergeCell ref="K6:M6"/>
    <mergeCell ref="N6:P6"/>
    <mergeCell ref="Q6:S6"/>
    <mergeCell ref="T6:V6"/>
    <mergeCell ref="W6:Y6"/>
    <mergeCell ref="Z5:AB5"/>
    <mergeCell ref="AC5:AE5"/>
    <mergeCell ref="AF5:AH5"/>
    <mergeCell ref="AK5:AM5"/>
    <mergeCell ref="AN5:AP5"/>
    <mergeCell ref="AQ5:AS5"/>
    <mergeCell ref="W5:Y5"/>
    <mergeCell ref="B5:D5"/>
    <mergeCell ref="E5:G5"/>
    <mergeCell ref="H5:J5"/>
    <mergeCell ref="K5:M5"/>
    <mergeCell ref="Q5:S5"/>
  </mergeCells>
  <hyperlinks>
    <hyperlink ref="B1" location="Innhold!A1" display="Tilbake" xr:uid="{E1A64155-B40D-4A93-82E6-9B7C179294E8}"/>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9"/>
  <dimension ref="A2:Q65"/>
  <sheetViews>
    <sheetView showGridLines="0" zoomScale="90" zoomScaleNormal="90" workbookViewId="0"/>
  </sheetViews>
  <sheetFormatPr baseColWidth="10" defaultColWidth="11.42578125" defaultRowHeight="12.75" x14ac:dyDescent="0.2"/>
  <cols>
    <col min="1" max="1" width="66.28515625" style="1" customWidth="1"/>
    <col min="2" max="2" width="4.28515625" style="50" customWidth="1"/>
    <col min="3" max="3" width="105.140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27"/>
      <c r="D2" s="327"/>
      <c r="E2" s="327"/>
    </row>
    <row r="3" spans="1:17" x14ac:dyDescent="0.2">
      <c r="A3" s="43" t="s">
        <v>51</v>
      </c>
    </row>
    <row r="4" spans="1:17" x14ac:dyDescent="0.2">
      <c r="C4" s="327"/>
      <c r="D4" s="327"/>
      <c r="E4" s="327"/>
      <c r="F4" s="327"/>
      <c r="G4" s="327"/>
      <c r="H4" s="327"/>
      <c r="I4" s="327"/>
      <c r="J4" s="327"/>
      <c r="K4" s="327"/>
    </row>
    <row r="6" spans="1:17" ht="15.75" x14ac:dyDescent="0.25">
      <c r="C6" s="334" t="s">
        <v>16</v>
      </c>
      <c r="D6" s="3"/>
      <c r="E6" s="334"/>
    </row>
    <row r="7" spans="1:17" ht="18.75" customHeight="1" x14ac:dyDescent="0.2">
      <c r="C7" s="3"/>
      <c r="D7" s="3"/>
      <c r="E7" s="50"/>
    </row>
    <row r="8" spans="1:17" ht="15.75" x14ac:dyDescent="0.25">
      <c r="B8" s="328">
        <v>1</v>
      </c>
      <c r="C8" s="329" t="s">
        <v>357</v>
      </c>
      <c r="E8" s="338"/>
    </row>
    <row r="9" spans="1:17" ht="31.5" x14ac:dyDescent="0.2">
      <c r="B9" s="328">
        <v>2</v>
      </c>
      <c r="C9" s="331" t="s">
        <v>283</v>
      </c>
      <c r="E9" s="8"/>
      <c r="Q9" s="3"/>
    </row>
    <row r="10" spans="1:17" ht="47.25" x14ac:dyDescent="0.2">
      <c r="B10" s="328">
        <v>3</v>
      </c>
      <c r="C10" s="329" t="s">
        <v>284</v>
      </c>
      <c r="E10" s="8"/>
    </row>
    <row r="11" spans="1:17" ht="47.25" x14ac:dyDescent="0.2">
      <c r="B11" s="328">
        <v>4</v>
      </c>
      <c r="C11" s="331" t="s">
        <v>285</v>
      </c>
      <c r="E11" s="8"/>
    </row>
    <row r="12" spans="1:17" ht="31.5" x14ac:dyDescent="0.2">
      <c r="B12" s="328">
        <v>5</v>
      </c>
      <c r="C12" s="329" t="s">
        <v>21</v>
      </c>
      <c r="E12" s="3"/>
    </row>
    <row r="13" spans="1:17" ht="15.75" x14ac:dyDescent="0.2">
      <c r="B13" s="328">
        <v>6</v>
      </c>
      <c r="C13" s="329" t="s">
        <v>358</v>
      </c>
      <c r="E13" s="3"/>
    </row>
    <row r="14" spans="1:17" ht="15.75" x14ac:dyDescent="0.2">
      <c r="B14" s="328">
        <v>7</v>
      </c>
      <c r="C14" s="329" t="s">
        <v>17</v>
      </c>
    </row>
    <row r="15" spans="1:17" ht="18.75" customHeight="1" x14ac:dyDescent="0.2">
      <c r="B15" s="328">
        <v>8</v>
      </c>
      <c r="C15" s="329" t="s">
        <v>18</v>
      </c>
    </row>
    <row r="16" spans="1:17" ht="18.75" customHeight="1" x14ac:dyDescent="0.2">
      <c r="B16" s="328">
        <v>9</v>
      </c>
      <c r="C16" s="329" t="s">
        <v>22</v>
      </c>
    </row>
    <row r="17" spans="2:9" ht="63" x14ac:dyDescent="0.25">
      <c r="B17" s="328">
        <v>10</v>
      </c>
      <c r="C17" s="329" t="s">
        <v>367</v>
      </c>
      <c r="E17" s="334"/>
    </row>
    <row r="18" spans="2:9" ht="15.75" x14ac:dyDescent="0.2">
      <c r="B18" s="328">
        <v>11</v>
      </c>
      <c r="C18" s="329" t="s">
        <v>19</v>
      </c>
      <c r="E18" s="8"/>
    </row>
    <row r="19" spans="2:9" ht="15.75" x14ac:dyDescent="0.2">
      <c r="B19" s="328">
        <v>12</v>
      </c>
      <c r="C19" s="329" t="s">
        <v>287</v>
      </c>
      <c r="E19" s="8"/>
    </row>
    <row r="20" spans="2:9" ht="15.75" x14ac:dyDescent="0.2">
      <c r="B20" s="328">
        <v>13</v>
      </c>
      <c r="C20" s="329" t="s">
        <v>20</v>
      </c>
      <c r="E20" s="3"/>
    </row>
    <row r="21" spans="2:9" ht="47.25" x14ac:dyDescent="0.2">
      <c r="B21" s="328">
        <v>14</v>
      </c>
      <c r="C21" s="329" t="s">
        <v>288</v>
      </c>
      <c r="E21" s="339"/>
    </row>
    <row r="22" spans="2:9" ht="31.5" x14ac:dyDescent="0.2">
      <c r="B22" s="328">
        <v>15</v>
      </c>
      <c r="C22" s="331" t="s">
        <v>346</v>
      </c>
      <c r="E22" s="3"/>
    </row>
    <row r="23" spans="2:9" ht="15.75" x14ac:dyDescent="0.25">
      <c r="B23" s="328">
        <v>16</v>
      </c>
      <c r="C23" s="333" t="s">
        <v>286</v>
      </c>
      <c r="D23" s="332"/>
      <c r="E23" s="327"/>
      <c r="F23" s="332"/>
      <c r="G23" s="2"/>
      <c r="H23" s="2"/>
      <c r="I23" s="2"/>
    </row>
    <row r="24" spans="2:9" ht="18.75" customHeight="1" x14ac:dyDescent="0.25">
      <c r="B24" s="330">
        <v>17</v>
      </c>
      <c r="C24" s="333" t="s">
        <v>289</v>
      </c>
    </row>
    <row r="25" spans="2:9" ht="18.75" customHeight="1" x14ac:dyDescent="0.25">
      <c r="B25" s="330"/>
      <c r="C25" s="336"/>
    </row>
    <row r="26" spans="2:9" ht="18.75" customHeight="1" x14ac:dyDescent="0.25">
      <c r="B26" s="330"/>
      <c r="C26" s="351"/>
    </row>
    <row r="27" spans="2:9" ht="18.75" customHeight="1" x14ac:dyDescent="0.2">
      <c r="C27" s="336"/>
    </row>
    <row r="28" spans="2:9" ht="18.75" customHeight="1" x14ac:dyDescent="0.2">
      <c r="C28" s="336"/>
    </row>
    <row r="29" spans="2:9" ht="18.75" customHeight="1" x14ac:dyDescent="0.2">
      <c r="C29" s="336"/>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37"/>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27"/>
      <c r="E50" s="327"/>
      <c r="F50" s="327"/>
      <c r="G50" s="327"/>
      <c r="H50" s="327"/>
      <c r="I50" s="327"/>
      <c r="J50" s="327"/>
      <c r="K50" s="327"/>
      <c r="L50" s="327"/>
      <c r="M50" s="327"/>
      <c r="N50" s="327"/>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xmlns:xlrd2="http://schemas.microsoft.com/office/spreadsheetml/2017/richdata2" ref="B5:E41">
    <sortCondition ref="B5:B41"/>
  </sortState>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IF108"/>
  <sheetViews>
    <sheetView showGridLines="0" showZeros="0" zoomScale="90" zoomScaleNormal="90" workbookViewId="0">
      <pane ySplit="7" topLeftCell="A8" activePane="bottomLeft" state="frozen"/>
      <selection activeCell="J44" sqref="J44"/>
      <selection pane="bottomLeft" activeCell="A4" sqref="A4"/>
    </sheetView>
  </sheetViews>
  <sheetFormatPr baseColWidth="10" defaultColWidth="11.42578125" defaultRowHeight="12.75" x14ac:dyDescent="0.2"/>
  <cols>
    <col min="1" max="1" width="49" style="87" customWidth="1"/>
    <col min="2" max="3" width="15.7109375" style="87" customWidth="1"/>
    <col min="4" max="4" width="8.7109375" style="87" customWidth="1"/>
    <col min="5" max="5" width="9" style="87" bestFit="1" customWidth="1"/>
    <col min="6" max="6" width="4.7109375" style="87" customWidth="1"/>
    <col min="7" max="7" width="18.42578125" style="87" customWidth="1"/>
    <col min="8" max="8" width="17.85546875" style="87" customWidth="1"/>
    <col min="9" max="9" width="8.7109375" style="87" customWidth="1"/>
    <col min="10" max="10" width="9" style="87" bestFit="1" customWidth="1"/>
    <col min="11" max="11" width="13.42578125" style="87" hidden="1" customWidth="1"/>
    <col min="12" max="12" width="14.85546875" style="187" hidden="1" customWidth="1"/>
    <col min="13" max="13" width="13.85546875" style="187" hidden="1" customWidth="1"/>
    <col min="14" max="15" width="15.7109375" style="187" hidden="1" customWidth="1"/>
    <col min="16" max="16" width="11.42578125" style="87" hidden="1" customWidth="1"/>
    <col min="17" max="19" width="11.42578125" style="87" customWidth="1"/>
    <col min="20" max="16384" width="11.42578125" style="87"/>
  </cols>
  <sheetData>
    <row r="1" spans="1:16" ht="20.25" x14ac:dyDescent="0.3">
      <c r="A1" s="80" t="s">
        <v>79</v>
      </c>
      <c r="B1" s="73" t="s">
        <v>52</v>
      </c>
      <c r="C1" s="74"/>
      <c r="D1" s="74"/>
      <c r="E1" s="74"/>
      <c r="F1" s="74"/>
      <c r="G1" s="74"/>
      <c r="H1" s="74"/>
      <c r="I1" s="74"/>
      <c r="J1" s="74"/>
      <c r="K1" s="74"/>
    </row>
    <row r="2" spans="1:16" ht="20.25" x14ac:dyDescent="0.3">
      <c r="A2" s="80" t="s">
        <v>80</v>
      </c>
      <c r="B2" s="74"/>
      <c r="C2" s="74"/>
      <c r="D2" s="74"/>
      <c r="E2" s="74"/>
      <c r="F2" s="74"/>
      <c r="G2" s="74"/>
      <c r="H2" s="74"/>
      <c r="I2" s="74"/>
      <c r="J2" s="74"/>
      <c r="K2" s="74"/>
    </row>
    <row r="3" spans="1:16" ht="18.75" x14ac:dyDescent="0.3">
      <c r="A3" s="676" t="s">
        <v>81</v>
      </c>
      <c r="B3" s="676"/>
      <c r="C3" s="74"/>
      <c r="D3" s="74"/>
      <c r="E3" s="74"/>
      <c r="F3" s="74"/>
      <c r="G3" s="74"/>
      <c r="H3" s="74"/>
      <c r="I3" s="74"/>
      <c r="J3" s="74"/>
      <c r="K3" s="74"/>
    </row>
    <row r="4" spans="1:16" ht="18.75" x14ac:dyDescent="0.3">
      <c r="A4" s="82" t="s">
        <v>414</v>
      </c>
      <c r="B4" s="83"/>
      <c r="C4" s="84"/>
      <c r="D4" s="84"/>
      <c r="E4" s="85"/>
      <c r="F4" s="86"/>
      <c r="G4" s="83"/>
      <c r="H4" s="84"/>
      <c r="I4" s="84"/>
      <c r="J4" s="85"/>
      <c r="K4" s="112"/>
      <c r="L4" s="210"/>
      <c r="M4" s="211"/>
      <c r="N4" s="212"/>
      <c r="O4" s="211"/>
    </row>
    <row r="5" spans="1:16" ht="22.5" x14ac:dyDescent="0.3">
      <c r="A5" s="88"/>
      <c r="B5" s="677" t="s">
        <v>82</v>
      </c>
      <c r="C5" s="678"/>
      <c r="D5" s="678"/>
      <c r="E5" s="679"/>
      <c r="F5" s="90"/>
      <c r="G5" s="677" t="s">
        <v>401</v>
      </c>
      <c r="H5" s="678"/>
      <c r="I5" s="678"/>
      <c r="J5" s="679"/>
      <c r="K5" s="89"/>
      <c r="L5" s="680" t="s">
        <v>143</v>
      </c>
      <c r="M5" s="675"/>
      <c r="N5" s="674" t="s">
        <v>144</v>
      </c>
      <c r="O5" s="675"/>
    </row>
    <row r="6" spans="1:16" ht="18.75" x14ac:dyDescent="0.3">
      <c r="A6" s="91"/>
      <c r="B6" s="92"/>
      <c r="C6" s="93"/>
      <c r="D6" s="93" t="s">
        <v>83</v>
      </c>
      <c r="E6" s="94" t="s">
        <v>29</v>
      </c>
      <c r="F6" s="95"/>
      <c r="G6" s="92"/>
      <c r="H6" s="93"/>
      <c r="I6" s="93" t="s">
        <v>83</v>
      </c>
      <c r="J6" s="94" t="s">
        <v>29</v>
      </c>
      <c r="K6" s="100"/>
      <c r="L6" s="213"/>
      <c r="M6" s="214"/>
      <c r="N6" s="215"/>
      <c r="O6" s="214"/>
    </row>
    <row r="7" spans="1:16" ht="15.75" x14ac:dyDescent="0.25">
      <c r="A7" s="96" t="s">
        <v>84</v>
      </c>
      <c r="B7" s="97">
        <v>2018</v>
      </c>
      <c r="C7" s="97">
        <v>2019</v>
      </c>
      <c r="D7" s="98" t="s">
        <v>85</v>
      </c>
      <c r="E7" s="99" t="s">
        <v>30</v>
      </c>
      <c r="F7" s="95"/>
      <c r="G7" s="97">
        <v>2018</v>
      </c>
      <c r="H7" s="97">
        <v>2019</v>
      </c>
      <c r="I7" s="98" t="s">
        <v>85</v>
      </c>
      <c r="J7" s="99" t="s">
        <v>30</v>
      </c>
      <c r="K7" s="100"/>
      <c r="L7" s="216">
        <v>2015</v>
      </c>
      <c r="M7" s="217">
        <v>2016</v>
      </c>
      <c r="N7" s="218">
        <v>2015</v>
      </c>
      <c r="O7" s="217">
        <v>2016</v>
      </c>
      <c r="P7" s="87" t="s">
        <v>147</v>
      </c>
    </row>
    <row r="8" spans="1:16" ht="18.75" x14ac:dyDescent="0.3">
      <c r="A8" s="101" t="s">
        <v>0</v>
      </c>
      <c r="B8" s="129"/>
      <c r="C8" s="103"/>
      <c r="D8" s="104" t="str">
        <f t="shared" ref="D8:D30" si="0">IF(B8=0, "    ---- ", IF(ABS(ROUND(100/B8*C8-100,1))&lt;999,ROUND(100/B8*C8-100,1),IF(ROUND(100/B8*C8-100,1)&gt;999,999,-999)))</f>
        <v xml:space="preserve">    ---- </v>
      </c>
      <c r="E8" s="358"/>
      <c r="F8" s="176"/>
      <c r="G8" s="129"/>
      <c r="H8" s="129"/>
      <c r="I8" s="103"/>
      <c r="J8" s="358"/>
      <c r="K8" s="139"/>
      <c r="L8" s="219" t="s">
        <v>0</v>
      </c>
      <c r="M8" s="220"/>
      <c r="N8" s="221"/>
      <c r="O8" s="220"/>
      <c r="P8" s="87" t="s">
        <v>154</v>
      </c>
    </row>
    <row r="9" spans="1:16" ht="18.75" x14ac:dyDescent="0.3">
      <c r="A9" s="192" t="s">
        <v>86</v>
      </c>
      <c r="B9" s="176">
        <f>'Danica Pensjonsforsikring'!B7+'Danica Pensjonsforsikring'!B22+'Danica Pensjonsforsikring'!B36+'Danica Pensjonsforsikring'!B47+'Danica Pensjonsforsikring'!B66+'Danica Pensjonsforsikring'!B134</f>
        <v>207699.397</v>
      </c>
      <c r="C9" s="176">
        <f>'Danica Pensjonsforsikring'!C7+'Danica Pensjonsforsikring'!C22+'Danica Pensjonsforsikring'!C36+'Danica Pensjonsforsikring'!C47+'Danica Pensjonsforsikring'!C66+'Danica Pensjonsforsikring'!C134</f>
        <v>211735.83299999998</v>
      </c>
      <c r="D9" s="104">
        <f t="shared" si="0"/>
        <v>1.9</v>
      </c>
      <c r="E9" s="358">
        <f t="shared" ref="E9:E29" si="1">100/C$30*C9</f>
        <v>0.58868796206022245</v>
      </c>
      <c r="F9" s="103"/>
      <c r="G9" s="176">
        <f>'Danica Pensjonsforsikring'!B10+'Danica Pensjonsforsikring'!B29+'Danica Pensjonsforsikring'!B37+'Danica Pensjonsforsikring'!B87+'Danica Pensjonsforsikring'!B135</f>
        <v>1062443.889</v>
      </c>
      <c r="H9" s="176">
        <f>'Danica Pensjonsforsikring'!C10+'Danica Pensjonsforsikring'!C29+'Danica Pensjonsforsikring'!C37+'Danica Pensjonsforsikring'!C87+'Danica Pensjonsforsikring'!C135</f>
        <v>1199454.547</v>
      </c>
      <c r="I9" s="104">
        <f t="shared" ref="I9:I30" si="2">IF(G9=0, "    ---- ", IF(ABS(ROUND(100/G9*H9-100,1))&lt;999,ROUND(100/G9*H9-100,1),IF(ROUND(100/G9*H9-100,1)&gt;999,999,-999)))</f>
        <v>12.9</v>
      </c>
      <c r="J9" s="358">
        <f t="shared" ref="J9:J29" si="3">100/H$30*H9</f>
        <v>0.11632385496849368</v>
      </c>
      <c r="K9" s="207" t="s">
        <v>151</v>
      </c>
      <c r="L9" s="222">
        <f t="shared" ref="L9:L29" ca="1" si="4">INDIRECT("'" &amp; $A9 &amp; "'!" &amp; $P$7)</f>
        <v>0</v>
      </c>
      <c r="M9" s="220">
        <f t="shared" ref="M9:M29" ca="1" si="5">INDIRECT("'" &amp; $A9 &amp; "'!" &amp; $P$8)</f>
        <v>0</v>
      </c>
      <c r="N9" s="222" t="e">
        <f ca="1">INDIRECT("'" &amp; $A9 &amp; "'!" &amp;#REF!)</f>
        <v>#REF!</v>
      </c>
      <c r="O9" s="220">
        <f t="shared" ref="O9:O29" ca="1" si="6">INDIRECT("'" &amp; $A9 &amp; "'!" &amp; $P$9)</f>
        <v>0</v>
      </c>
      <c r="P9" s="87" t="s">
        <v>162</v>
      </c>
    </row>
    <row r="10" spans="1:16" ht="18.75" x14ac:dyDescent="0.3">
      <c r="A10" s="192" t="s">
        <v>87</v>
      </c>
      <c r="B10" s="176">
        <f>'DNB Livsforsikring'!B7+'DNB Livsforsikring'!B22+'DNB Livsforsikring'!B36+'DNB Livsforsikring'!B47+'DNB Livsforsikring'!B66+'DNB Livsforsikring'!B134</f>
        <v>2678691</v>
      </c>
      <c r="C10" s="176">
        <f>'DNB Livsforsikring'!C7+'DNB Livsforsikring'!C22+'DNB Livsforsikring'!C36+'DNB Livsforsikring'!C47+'DNB Livsforsikring'!C66+'DNB Livsforsikring'!C134</f>
        <v>2712593.8971199999</v>
      </c>
      <c r="D10" s="104">
        <f t="shared" si="0"/>
        <v>1.3</v>
      </c>
      <c r="E10" s="358">
        <f t="shared" si="1"/>
        <v>7.5418097662882104</v>
      </c>
      <c r="F10" s="103"/>
      <c r="G10" s="176">
        <f>'DNB Livsforsikring'!B10+'DNB Livsforsikring'!B29+'DNB Livsforsikring'!B37+'DNB Livsforsikring'!B87+'DNB Livsforsikring'!B135</f>
        <v>201995081</v>
      </c>
      <c r="H10" s="176">
        <f>'DNB Livsforsikring'!C10+'DNB Livsforsikring'!C29+'DNB Livsforsikring'!C37+'DNB Livsforsikring'!C87+'DNB Livsforsikring'!C135</f>
        <v>199601126.12900001</v>
      </c>
      <c r="I10" s="104">
        <f t="shared" si="2"/>
        <v>-1.2</v>
      </c>
      <c r="J10" s="358">
        <f t="shared" si="3"/>
        <v>19.35744251872665</v>
      </c>
      <c r="K10" s="87" t="s">
        <v>145</v>
      </c>
      <c r="L10" s="222">
        <f t="shared" ca="1" si="4"/>
        <v>0</v>
      </c>
      <c r="M10" s="220">
        <f t="shared" ca="1" si="5"/>
        <v>0</v>
      </c>
      <c r="N10" s="222" t="e">
        <f ca="1">INDIRECT("'" &amp; $A10 &amp; "'!" &amp;#REF!)</f>
        <v>#REF!</v>
      </c>
      <c r="O10" s="220">
        <f t="shared" ca="1" si="6"/>
        <v>0</v>
      </c>
    </row>
    <row r="11" spans="1:16" ht="18.75" x14ac:dyDescent="0.3">
      <c r="A11" s="192" t="s">
        <v>88</v>
      </c>
      <c r="B11" s="176">
        <f>'Eika Forsikring AS'!B7+'Eika Forsikring AS'!B22+'Eika Forsikring AS'!B36+'Eika Forsikring AS'!B47+'Eika Forsikring AS'!B66+'Eika Forsikring AS'!B134</f>
        <v>167974</v>
      </c>
      <c r="C11" s="176">
        <f>'Eika Forsikring AS'!C7+'Eika Forsikring AS'!C22+'Eika Forsikring AS'!C36+'Eika Forsikring AS'!C47+'Eika Forsikring AS'!C66+'Eika Forsikring AS'!C134</f>
        <v>192435</v>
      </c>
      <c r="D11" s="104">
        <f t="shared" si="0"/>
        <v>14.6</v>
      </c>
      <c r="E11" s="358">
        <f t="shared" si="1"/>
        <v>0.53502596312575457</v>
      </c>
      <c r="F11" s="103"/>
      <c r="G11" s="176">
        <f>'Eika Forsikring AS'!B10+'Eika Forsikring AS'!B29+'Eika Forsikring AS'!B37+'Eika Forsikring AS'!B87+'Eika Forsikring AS'!B135</f>
        <v>0</v>
      </c>
      <c r="H11" s="176">
        <f>'Eika Forsikring AS'!C10+'Eika Forsikring AS'!C29+'Eika Forsikring AS'!C37+'Eika Forsikring AS'!C87+'Eika Forsikring AS'!C135</f>
        <v>0</v>
      </c>
      <c r="I11" s="104" t="str">
        <f t="shared" si="2"/>
        <v xml:space="preserve">    ---- </v>
      </c>
      <c r="J11" s="358">
        <f t="shared" si="3"/>
        <v>0</v>
      </c>
      <c r="K11" s="87" t="s">
        <v>152</v>
      </c>
      <c r="L11" s="222">
        <f t="shared" ca="1" si="4"/>
        <v>0</v>
      </c>
      <c r="M11" s="220">
        <f t="shared" ca="1" si="5"/>
        <v>0</v>
      </c>
      <c r="N11" s="222" t="e">
        <f ca="1">INDIRECT("'" &amp; $A11 &amp; "'!" &amp;#REF!)</f>
        <v>#REF!</v>
      </c>
      <c r="O11" s="220">
        <f t="shared" ca="1" si="6"/>
        <v>0</v>
      </c>
    </row>
    <row r="12" spans="1:16" ht="18.75" x14ac:dyDescent="0.3">
      <c r="A12" s="192" t="s">
        <v>89</v>
      </c>
      <c r="B12" s="177">
        <f>'Frende Livsforsikring'!B7+'Frende Livsforsikring'!B22+'Frende Livsforsikring'!B36+'Frende Livsforsikring'!B47+'Frende Livsforsikring'!B66+'Frende Livsforsikring'!B134</f>
        <v>461898</v>
      </c>
      <c r="C12" s="177">
        <f>'Frende Livsforsikring'!C7+'Frende Livsforsikring'!C22+'Frende Livsforsikring'!C36+'Frende Livsforsikring'!C47+'Frende Livsforsikring'!C66+'Frende Livsforsikring'!C134</f>
        <v>491921</v>
      </c>
      <c r="D12" s="104">
        <f t="shared" si="0"/>
        <v>6.5</v>
      </c>
      <c r="E12" s="358">
        <f t="shared" si="1"/>
        <v>1.3676852277744915</v>
      </c>
      <c r="F12" s="103"/>
      <c r="G12" s="176">
        <f>'Frende Livsforsikring'!B10+'Frende Livsforsikring'!B29+'Frende Livsforsikring'!B37+'Frende Livsforsikring'!B87+'Frende Livsforsikring'!B135</f>
        <v>913292</v>
      </c>
      <c r="H12" s="176">
        <f>'Frende Livsforsikring'!C10+'Frende Livsforsikring'!C29+'Frende Livsforsikring'!C37+'Frende Livsforsikring'!C87+'Frende Livsforsikring'!C135</f>
        <v>1044889</v>
      </c>
      <c r="I12" s="104">
        <f t="shared" si="2"/>
        <v>14.4</v>
      </c>
      <c r="J12" s="358">
        <f t="shared" si="3"/>
        <v>0.10133399118639082</v>
      </c>
      <c r="K12" s="87" t="s">
        <v>146</v>
      </c>
      <c r="L12" s="222">
        <f t="shared" ca="1" si="4"/>
        <v>0</v>
      </c>
      <c r="M12" s="220">
        <f t="shared" ca="1" si="5"/>
        <v>0</v>
      </c>
      <c r="N12" s="222" t="e">
        <f ca="1">INDIRECT("'" &amp; $A12 &amp; "'!" &amp;#REF!)</f>
        <v>#REF!</v>
      </c>
      <c r="O12" s="220">
        <f t="shared" ca="1" si="6"/>
        <v>0</v>
      </c>
    </row>
    <row r="13" spans="1:16" ht="18.75" x14ac:dyDescent="0.3">
      <c r="A13" s="192" t="s">
        <v>90</v>
      </c>
      <c r="B13" s="176">
        <f>'Frende Skadeforsikring'!B7+'Frende Skadeforsikring'!B22+'Frende Skadeforsikring'!B36+'Frende Skadeforsikring'!B47+'Frende Skadeforsikring'!B66+'Frende Skadeforsikring'!B134</f>
        <v>5092</v>
      </c>
      <c r="C13" s="176">
        <f>'Frende Skadeforsikring'!C7+'Frende Skadeforsikring'!C22+'Frende Skadeforsikring'!C36+'Frende Skadeforsikring'!C47+'Frende Skadeforsikring'!C66+'Frende Skadeforsikring'!C134</f>
        <v>1977</v>
      </c>
      <c r="D13" s="104">
        <f t="shared" si="0"/>
        <v>-61.2</v>
      </c>
      <c r="E13" s="358">
        <f t="shared" si="1"/>
        <v>5.4966421342251496E-3</v>
      </c>
      <c r="F13" s="103"/>
      <c r="G13" s="176">
        <f>'Frende Skadeforsikring'!B10+'Frende Skadeforsikring'!B29+'Frende Skadeforsikring'!B37+'Frende Skadeforsikring'!B87+'Frende Skadeforsikring'!B135</f>
        <v>0</v>
      </c>
      <c r="H13" s="176">
        <f>'Frende Skadeforsikring'!C10+'Frende Skadeforsikring'!C29+'Frende Skadeforsikring'!C37+'Frende Skadeforsikring'!C87+'Frende Skadeforsikring'!C135</f>
        <v>0</v>
      </c>
      <c r="I13" s="104" t="str">
        <f t="shared" si="2"/>
        <v xml:space="preserve">    ---- </v>
      </c>
      <c r="J13" s="358">
        <f t="shared" si="3"/>
        <v>0</v>
      </c>
      <c r="K13" s="87" t="s">
        <v>153</v>
      </c>
      <c r="L13" s="222">
        <f t="shared" ca="1" si="4"/>
        <v>0</v>
      </c>
      <c r="M13" s="220">
        <f t="shared" ca="1" si="5"/>
        <v>0</v>
      </c>
      <c r="N13" s="222" t="e">
        <f ca="1">INDIRECT("'" &amp; $A13 &amp; "'!" &amp;#REF!)</f>
        <v>#REF!</v>
      </c>
      <c r="O13" s="220">
        <f t="shared" ca="1" si="6"/>
        <v>0</v>
      </c>
    </row>
    <row r="14" spans="1:16" ht="18.75" x14ac:dyDescent="0.3">
      <c r="A14" s="192" t="s">
        <v>91</v>
      </c>
      <c r="B14" s="176">
        <f>'Gjensidige Forsikring'!B7+'Gjensidige Forsikring'!B22+'Gjensidige Forsikring'!B36+'Gjensidige Forsikring'!B47+'Gjensidige Forsikring'!B66+'Gjensidige Forsikring'!B134</f>
        <v>1211719</v>
      </c>
      <c r="C14" s="176">
        <f>'Gjensidige Forsikring'!C7+'Gjensidige Forsikring'!C22+'Gjensidige Forsikring'!C36+'Gjensidige Forsikring'!C47+'Gjensidige Forsikring'!C66+'Gjensidige Forsikring'!C134</f>
        <v>1200340</v>
      </c>
      <c r="D14" s="104">
        <f t="shared" si="0"/>
        <v>-0.9</v>
      </c>
      <c r="E14" s="358">
        <f t="shared" si="1"/>
        <v>3.3372986441051169</v>
      </c>
      <c r="F14" s="103"/>
      <c r="G14" s="176">
        <f>'Gjensidige Forsikring'!B10+'Gjensidige Forsikring'!B29+'Gjensidige Forsikring'!B37+'Gjensidige Forsikring'!B87+'Gjensidige Forsikring'!B135</f>
        <v>0</v>
      </c>
      <c r="H14" s="176">
        <f>'Gjensidige Forsikring'!C10+'Gjensidige Forsikring'!C29+'Gjensidige Forsikring'!C37+'Gjensidige Forsikring'!C87+'Gjensidige Forsikring'!C135</f>
        <v>0</v>
      </c>
      <c r="I14" s="104" t="str">
        <f t="shared" si="2"/>
        <v xml:space="preserve">    ---- </v>
      </c>
      <c r="J14" s="358">
        <f t="shared" si="3"/>
        <v>0</v>
      </c>
      <c r="K14" s="87" t="s">
        <v>147</v>
      </c>
      <c r="L14" s="222">
        <f t="shared" ca="1" si="4"/>
        <v>0</v>
      </c>
      <c r="M14" s="220">
        <f t="shared" ca="1" si="5"/>
        <v>0</v>
      </c>
      <c r="N14" s="222" t="e">
        <f ca="1">INDIRECT("'" &amp; $A14 &amp; "'!" &amp;#REF!)</f>
        <v>#REF!</v>
      </c>
      <c r="O14" s="220">
        <f t="shared" ca="1" si="6"/>
        <v>0</v>
      </c>
    </row>
    <row r="15" spans="1:16" ht="18.75" x14ac:dyDescent="0.3">
      <c r="A15" s="192" t="s">
        <v>92</v>
      </c>
      <c r="B15" s="176">
        <f>'Gjensidige Pensjon'!B7+'Gjensidige Pensjon'!B22+'Gjensidige Pensjon'!B36+'Gjensidige Pensjon'!B47+'Gjensidige Pensjon'!B66+'Gjensidige Pensjon'!B134</f>
        <v>315310</v>
      </c>
      <c r="C15" s="176">
        <f>'Gjensidige Pensjon'!C7+'Gjensidige Pensjon'!C22+'Gjensidige Pensjon'!C36+'Gjensidige Pensjon'!C47+'Gjensidige Pensjon'!C66+'Gjensidige Pensjon'!C134</f>
        <v>350587.6</v>
      </c>
      <c r="D15" s="104">
        <f t="shared" si="0"/>
        <v>11.2</v>
      </c>
      <c r="E15" s="358">
        <f t="shared" si="1"/>
        <v>0.97473675968481177</v>
      </c>
      <c r="F15" s="103"/>
      <c r="G15" s="176">
        <f>'Gjensidige Pensjon'!B10+'Gjensidige Pensjon'!B29+'Gjensidige Pensjon'!B37+'Gjensidige Pensjon'!B87+'Gjensidige Pensjon'!B135</f>
        <v>6339478</v>
      </c>
      <c r="H15" s="176">
        <f>'Gjensidige Pensjon'!C10+'Gjensidige Pensjon'!C29+'Gjensidige Pensjon'!C37+'Gjensidige Pensjon'!C87+'Gjensidige Pensjon'!C135</f>
        <v>6946187</v>
      </c>
      <c r="I15" s="104">
        <f t="shared" si="2"/>
        <v>9.6</v>
      </c>
      <c r="J15" s="358">
        <f t="shared" si="3"/>
        <v>0.67364557597699137</v>
      </c>
      <c r="K15" s="87" t="s">
        <v>154</v>
      </c>
      <c r="L15" s="222">
        <f t="shared" ca="1" si="4"/>
        <v>0</v>
      </c>
      <c r="M15" s="220">
        <f t="shared" ca="1" si="5"/>
        <v>0</v>
      </c>
      <c r="N15" s="222" t="e">
        <f ca="1">INDIRECT("'" &amp; $A15 &amp; "'!" &amp;#REF!)</f>
        <v>#REF!</v>
      </c>
      <c r="O15" s="220">
        <f t="shared" ca="1" si="6"/>
        <v>0</v>
      </c>
    </row>
    <row r="16" spans="1:16" ht="18.75" x14ac:dyDescent="0.3">
      <c r="A16" s="192" t="s">
        <v>93</v>
      </c>
      <c r="B16" s="176">
        <f>'Handelsbanken Liv'!B7+'Handelsbanken Liv'!B22+'Handelsbanken Liv'!B36+'Handelsbanken Liv'!B47+'Handelsbanken Liv'!B66+'Handelsbanken Liv'!B134</f>
        <v>19122</v>
      </c>
      <c r="C16" s="176">
        <f>'Handelsbanken Liv'!C7+'Handelsbanken Liv'!C22+'Handelsbanken Liv'!C36+'Handelsbanken Liv'!C47+'Handelsbanken Liv'!C66+'Handelsbanken Liv'!C134</f>
        <v>18102</v>
      </c>
      <c r="D16" s="104">
        <f t="shared" si="0"/>
        <v>-5.3</v>
      </c>
      <c r="E16" s="358">
        <f t="shared" si="1"/>
        <v>5.0328890194104026E-2</v>
      </c>
      <c r="F16" s="103"/>
      <c r="G16" s="176">
        <f>'Handelsbanken Liv'!B10+'Handelsbanken Liv'!B29+'Handelsbanken Liv'!B37+'Handelsbanken Liv'!B87+'Handelsbanken Liv'!B135</f>
        <v>22086</v>
      </c>
      <c r="H16" s="176">
        <f>'Handelsbanken Liv'!C10+'Handelsbanken Liv'!C29+'Handelsbanken Liv'!C37+'Handelsbanken Liv'!C87+'Handelsbanken Liv'!C135</f>
        <v>16959.64603199068</v>
      </c>
      <c r="I16" s="104">
        <f t="shared" si="2"/>
        <v>-23.2</v>
      </c>
      <c r="J16" s="358">
        <f t="shared" si="3"/>
        <v>1.6447571192060128E-3</v>
      </c>
      <c r="K16" s="139"/>
      <c r="L16" s="222">
        <f t="shared" ca="1" si="4"/>
        <v>0</v>
      </c>
      <c r="M16" s="220">
        <f t="shared" ca="1" si="5"/>
        <v>0</v>
      </c>
      <c r="N16" s="222" t="e">
        <f ca="1">INDIRECT("'" &amp; $A16 &amp; "'!" &amp;#REF!)</f>
        <v>#REF!</v>
      </c>
      <c r="O16" s="220">
        <f t="shared" ca="1" si="6"/>
        <v>0</v>
      </c>
    </row>
    <row r="17" spans="1:21" ht="18.75" x14ac:dyDescent="0.3">
      <c r="A17" s="192" t="s">
        <v>94</v>
      </c>
      <c r="B17" s="176">
        <f>'If Skadeforsikring NUF'!B7+'If Skadeforsikring NUF'!B22+'If Skadeforsikring NUF'!B36+'If Skadeforsikring NUF'!B47+'If Skadeforsikring NUF'!B66+'If Skadeforsikring NUF'!B134</f>
        <v>273642.10161000001</v>
      </c>
      <c r="C17" s="176">
        <f>'If Skadeforsikring NUF'!C7+'If Skadeforsikring NUF'!C22+'If Skadeforsikring NUF'!C36+'If Skadeforsikring NUF'!C47+'If Skadeforsikring NUF'!C66+'If Skadeforsikring NUF'!C134</f>
        <v>278836.821</v>
      </c>
      <c r="D17" s="104">
        <f t="shared" si="0"/>
        <v>1.9</v>
      </c>
      <c r="E17" s="358">
        <f t="shared" si="1"/>
        <v>0.77524846680930504</v>
      </c>
      <c r="F17" s="103"/>
      <c r="G17" s="176">
        <f>'If Skadeforsikring NUF'!B10+'If Skadeforsikring NUF'!B29+'If Skadeforsikring NUF'!B37+'If Skadeforsikring NUF'!B87+'If Skadeforsikring NUF'!B135</f>
        <v>0</v>
      </c>
      <c r="H17" s="176">
        <f>'If Skadeforsikring NUF'!C10+'If Skadeforsikring NUF'!C29+'If Skadeforsikring NUF'!C37+'If Skadeforsikring NUF'!C87+'If Skadeforsikring NUF'!C135</f>
        <v>0</v>
      </c>
      <c r="I17" s="104" t="str">
        <f t="shared" si="2"/>
        <v xml:space="preserve">    ---- </v>
      </c>
      <c r="J17" s="358">
        <f t="shared" si="3"/>
        <v>0</v>
      </c>
      <c r="K17" s="139"/>
      <c r="L17" s="222">
        <f t="shared" ca="1" si="4"/>
        <v>0</v>
      </c>
      <c r="M17" s="220">
        <f t="shared" ca="1" si="5"/>
        <v>0</v>
      </c>
      <c r="N17" s="222" t="e">
        <f ca="1">INDIRECT("'" &amp; $A17 &amp; "'!" &amp;#REF!)</f>
        <v>#REF!</v>
      </c>
      <c r="O17" s="220">
        <f t="shared" ca="1" si="6"/>
        <v>0</v>
      </c>
    </row>
    <row r="18" spans="1:21" ht="18.75" x14ac:dyDescent="0.3">
      <c r="A18" s="192" t="s">
        <v>63</v>
      </c>
      <c r="B18" s="176">
        <f>KLP!B7+KLP!B22+KLP!B36+KLP!B47+KLP!B66+KLP!B134</f>
        <v>21895155.24456</v>
      </c>
      <c r="C18" s="176">
        <f>KLP!C7+KLP!C22+KLP!C36+KLP!C47+KLP!C66+KLP!C134</f>
        <v>21744313.454720002</v>
      </c>
      <c r="D18" s="104">
        <f t="shared" si="0"/>
        <v>-0.7</v>
      </c>
      <c r="E18" s="358">
        <f t="shared" si="1"/>
        <v>60.455594089536056</v>
      </c>
      <c r="F18" s="103"/>
      <c r="G18" s="176">
        <f>KLP!B10+KLP!B29+KLP!B37+KLP!B87+KLP!B135</f>
        <v>465567937.94161999</v>
      </c>
      <c r="H18" s="176">
        <f>KLP!C10+KLP!C29+KLP!C37+KLP!C87+KLP!C135</f>
        <v>491892859.81856</v>
      </c>
      <c r="I18" s="104">
        <f t="shared" si="2"/>
        <v>5.7</v>
      </c>
      <c r="J18" s="358">
        <f t="shared" si="3"/>
        <v>47.704078348515999</v>
      </c>
      <c r="K18" s="139"/>
      <c r="L18" s="222">
        <f t="shared" ca="1" si="4"/>
        <v>0</v>
      </c>
      <c r="M18" s="220">
        <f t="shared" ca="1" si="5"/>
        <v>0</v>
      </c>
      <c r="N18" s="222" t="e">
        <f ca="1">INDIRECT("'" &amp; $A18 &amp; "'!" &amp;#REF!)</f>
        <v>#REF!</v>
      </c>
      <c r="O18" s="220">
        <f t="shared" ca="1" si="6"/>
        <v>0</v>
      </c>
    </row>
    <row r="19" spans="1:21" ht="18.75" x14ac:dyDescent="0.3">
      <c r="A19" s="108" t="s">
        <v>95</v>
      </c>
      <c r="B19" s="176">
        <f>'KLP Bedriftspensjon AS'!B7+'KLP Bedriftspensjon AS'!B22+'KLP Bedriftspensjon AS'!B36+'KLP Bedriftspensjon AS'!B47+'KLP Bedriftspensjon AS'!B66+'KLP Bedriftspensjon AS'!B134</f>
        <v>46821</v>
      </c>
      <c r="C19" s="176">
        <f>'KLP Bedriftspensjon AS'!C7+'KLP Bedriftspensjon AS'!C22+'KLP Bedriftspensjon AS'!C36+'KLP Bedriftspensjon AS'!C47+'KLP Bedriftspensjon AS'!C66+'KLP Bedriftspensjon AS'!C134</f>
        <v>47990</v>
      </c>
      <c r="D19" s="104">
        <f t="shared" si="0"/>
        <v>2.5</v>
      </c>
      <c r="E19" s="358">
        <f t="shared" si="1"/>
        <v>0.13342633081510619</v>
      </c>
      <c r="F19" s="103"/>
      <c r="G19" s="176">
        <f>'KLP Bedriftspensjon AS'!B10+'KLP Bedriftspensjon AS'!B29+'KLP Bedriftspensjon AS'!B37+'KLP Bedriftspensjon AS'!B87+'KLP Bedriftspensjon AS'!B135</f>
        <v>1675895</v>
      </c>
      <c r="H19" s="176">
        <f>'KLP Bedriftspensjon AS'!C10+'KLP Bedriftspensjon AS'!C29+'KLP Bedriftspensjon AS'!C37+'KLP Bedriftspensjon AS'!C87+'KLP Bedriftspensjon AS'!C135</f>
        <v>1731438</v>
      </c>
      <c r="I19" s="104">
        <f t="shared" si="2"/>
        <v>3.3</v>
      </c>
      <c r="J19" s="358">
        <f t="shared" si="3"/>
        <v>0.16791594421204756</v>
      </c>
      <c r="K19" s="139"/>
      <c r="L19" s="222">
        <f t="shared" ca="1" si="4"/>
        <v>0</v>
      </c>
      <c r="M19" s="220">
        <f t="shared" ca="1" si="5"/>
        <v>0</v>
      </c>
      <c r="N19" s="222" t="e">
        <f ca="1">INDIRECT("'" &amp; $A19 &amp; "'!" &amp;#REF!)</f>
        <v>#REF!</v>
      </c>
      <c r="O19" s="220">
        <f t="shared" ca="1" si="6"/>
        <v>0</v>
      </c>
    </row>
    <row r="20" spans="1:21" ht="18.75" x14ac:dyDescent="0.3">
      <c r="A20" s="108" t="s">
        <v>96</v>
      </c>
      <c r="B20" s="176">
        <f>'KLP Skadeforsikring AS'!B7+'KLP Skadeforsikring AS'!B22+'KLP Skadeforsikring AS'!B36+'KLP Skadeforsikring AS'!B47+'KLP Skadeforsikring AS'!B66+'KLP Skadeforsikring AS'!B134</f>
        <v>119515</v>
      </c>
      <c r="C20" s="176">
        <f>'KLP Skadeforsikring AS'!C7+'KLP Skadeforsikring AS'!C22+'KLP Skadeforsikring AS'!C36+'KLP Skadeforsikring AS'!C47+'KLP Skadeforsikring AS'!C66+'KLP Skadeforsikring AS'!C134</f>
        <v>154391</v>
      </c>
      <c r="D20" s="104">
        <f t="shared" si="0"/>
        <v>29.2</v>
      </c>
      <c r="E20" s="358">
        <f t="shared" si="1"/>
        <v>0.42925244094342696</v>
      </c>
      <c r="F20" s="103"/>
      <c r="G20" s="176">
        <f>'KLP Skadeforsikring AS'!B10+'KLP Skadeforsikring AS'!B29+'KLP Skadeforsikring AS'!B37+'KLP Skadeforsikring AS'!B87+'KLP Skadeforsikring AS'!B135</f>
        <v>14510</v>
      </c>
      <c r="H20" s="176">
        <f>'KLP Skadeforsikring AS'!C10+'KLP Skadeforsikring AS'!C29+'KLP Skadeforsikring AS'!C37+'KLP Skadeforsikring AS'!C87+'KLP Skadeforsikring AS'!C135</f>
        <v>30106</v>
      </c>
      <c r="I20" s="104">
        <f t="shared" si="2"/>
        <v>107.5</v>
      </c>
      <c r="J20" s="358">
        <f t="shared" si="3"/>
        <v>2.919698780116818E-3</v>
      </c>
      <c r="K20" s="139"/>
      <c r="L20" s="222">
        <f t="shared" ca="1" si="4"/>
        <v>0</v>
      </c>
      <c r="M20" s="220">
        <f t="shared" ca="1" si="5"/>
        <v>0</v>
      </c>
      <c r="N20" s="222" t="e">
        <f ca="1">INDIRECT("'" &amp; $A20 &amp; "'!" &amp;#REF!)</f>
        <v>#REF!</v>
      </c>
      <c r="O20" s="220">
        <f t="shared" ca="1" si="6"/>
        <v>0</v>
      </c>
    </row>
    <row r="21" spans="1:21" ht="18.75" x14ac:dyDescent="0.3">
      <c r="A21" s="108" t="s">
        <v>97</v>
      </c>
      <c r="B21" s="176">
        <f>'Landbruksforsikring AS'!B7+'Landbruksforsikring AS'!B22+'Landbruksforsikring AS'!B36+'Landbruksforsikring AS'!B47+'Landbruksforsikring AS'!B66+'Landbruksforsikring AS'!B134</f>
        <v>23683</v>
      </c>
      <c r="C21" s="176">
        <f>'Landbruksforsikring AS'!C7+'Landbruksforsikring AS'!C22+'Landbruksforsikring AS'!C36+'Landbruksforsikring AS'!C47+'Landbruksforsikring AS'!C66+'Landbruksforsikring AS'!C134</f>
        <v>26907</v>
      </c>
      <c r="D21" s="104">
        <f t="shared" si="0"/>
        <v>13.6</v>
      </c>
      <c r="E21" s="358">
        <f t="shared" si="1"/>
        <v>7.4809382855637888E-2</v>
      </c>
      <c r="F21" s="103"/>
      <c r="G21" s="176">
        <f>'Landbruksforsikring AS'!B10+'Landbruksforsikring AS'!B29+'Landbruksforsikring AS'!B37+'Landbruksforsikring AS'!B87+'Landbruksforsikring AS'!B135</f>
        <v>0</v>
      </c>
      <c r="H21" s="176">
        <f>'Landbruksforsikring AS'!C10+'Landbruksforsikring AS'!C29+'Landbruksforsikring AS'!C37+'Landbruksforsikring AS'!C87+'Landbruksforsikring AS'!C135</f>
        <v>0</v>
      </c>
      <c r="I21" s="104" t="str">
        <f t="shared" si="2"/>
        <v xml:space="preserve">    ---- </v>
      </c>
      <c r="J21" s="358">
        <f t="shared" si="3"/>
        <v>0</v>
      </c>
      <c r="K21" s="139"/>
      <c r="L21" s="222">
        <f t="shared" ca="1" si="4"/>
        <v>0</v>
      </c>
      <c r="M21" s="220">
        <f t="shared" ca="1" si="5"/>
        <v>0</v>
      </c>
      <c r="N21" s="222" t="e">
        <f ca="1">INDIRECT("'" &amp; $A21 &amp; "'!" &amp;#REF!)</f>
        <v>#REF!</v>
      </c>
      <c r="O21" s="220">
        <f t="shared" ca="1" si="6"/>
        <v>0</v>
      </c>
    </row>
    <row r="22" spans="1:21" ht="18.75" x14ac:dyDescent="0.3">
      <c r="A22" s="192" t="s">
        <v>98</v>
      </c>
      <c r="B22" s="176">
        <f>'NEMI Forsikring'!B7+'NEMI Forsikring'!B22+'NEMI Forsikring'!B36+'NEMI Forsikring'!B47+'NEMI Forsikring'!B66+'NEMI Forsikring'!B134</f>
        <v>1012</v>
      </c>
      <c r="C22" s="176">
        <f>'NEMI Forsikring'!C7+'NEMI Forsikring'!C22+'NEMI Forsikring'!C36+'NEMI Forsikring'!C47+'NEMI Forsikring'!C66+'NEMI Forsikring'!C134</f>
        <v>9667.0010000000002</v>
      </c>
      <c r="D22" s="104">
        <f t="shared" si="0"/>
        <v>855.2</v>
      </c>
      <c r="E22" s="358">
        <f t="shared" si="1"/>
        <v>2.6877109260595174E-2</v>
      </c>
      <c r="F22" s="103"/>
      <c r="G22" s="176">
        <f>'NEMI Forsikring'!B10+'NEMI Forsikring'!B29+'NEMI Forsikring'!B37+'NEMI Forsikring'!B87+'NEMI Forsikring'!B135</f>
        <v>0</v>
      </c>
      <c r="H22" s="176">
        <f>'NEMI Forsikring'!C10+'NEMI Forsikring'!C29+'NEMI Forsikring'!C37+'NEMI Forsikring'!C87+'NEMI Forsikring'!C135</f>
        <v>2349.1471643053901</v>
      </c>
      <c r="I22" s="104" t="str">
        <f t="shared" si="2"/>
        <v xml:space="preserve">    ---- </v>
      </c>
      <c r="J22" s="358">
        <f t="shared" si="3"/>
        <v>2.2782176675537535E-4</v>
      </c>
      <c r="K22" s="139"/>
      <c r="L22" s="222">
        <f t="shared" ca="1" si="4"/>
        <v>0</v>
      </c>
      <c r="M22" s="220">
        <f t="shared" ca="1" si="5"/>
        <v>0</v>
      </c>
      <c r="N22" s="222" t="e">
        <f ca="1">INDIRECT("'" &amp; $A22 &amp; "'!" &amp;#REF!)</f>
        <v>#REF!</v>
      </c>
      <c r="O22" s="220">
        <f t="shared" ca="1" si="6"/>
        <v>0</v>
      </c>
    </row>
    <row r="23" spans="1:21" ht="18.75" x14ac:dyDescent="0.3">
      <c r="A23" s="108" t="s">
        <v>99</v>
      </c>
      <c r="B23" s="176">
        <f>'Nordea Liv '!B7+'Nordea Liv '!B22+'Nordea Liv '!B36+'Nordea Liv '!B47+'Nordea Liv '!B66+'Nordea Liv '!B134</f>
        <v>911121.95053652162</v>
      </c>
      <c r="C23" s="176">
        <f>'Nordea Liv '!C7+'Nordea Liv '!C22+'Nordea Liv '!C36+'Nordea Liv '!C47+'Nordea Liv '!C66+'Nordea Liv '!C134</f>
        <v>924775.23482409364</v>
      </c>
      <c r="D23" s="104">
        <f t="shared" si="0"/>
        <v>1.5</v>
      </c>
      <c r="E23" s="358">
        <f t="shared" si="1"/>
        <v>2.5711474559545118</v>
      </c>
      <c r="F23" s="103"/>
      <c r="G23" s="177">
        <f>'Nordea Liv '!B10+'Nordea Liv '!B29+'Nordea Liv '!B37+'Nordea Liv '!B87+'Nordea Liv '!B135</f>
        <v>49965829.999989569</v>
      </c>
      <c r="H23" s="177">
        <f>'Nordea Liv '!C10+'Nordea Liv '!C29+'Nordea Liv '!C37+'Nordea Liv '!C87+'Nordea Liv '!C135</f>
        <v>51019701.999889746</v>
      </c>
      <c r="I23" s="104">
        <f t="shared" si="2"/>
        <v>2.1</v>
      </c>
      <c r="J23" s="358">
        <f t="shared" si="3"/>
        <v>4.9479227293895462</v>
      </c>
      <c r="K23" s="139"/>
      <c r="L23" s="222">
        <f t="shared" ca="1" si="4"/>
        <v>0</v>
      </c>
      <c r="M23" s="220">
        <f t="shared" ca="1" si="5"/>
        <v>0</v>
      </c>
      <c r="N23" s="222" t="e">
        <f ca="1">INDIRECT("'" &amp; $A23 &amp; "'!" &amp;#REF!)</f>
        <v>#REF!</v>
      </c>
      <c r="O23" s="220">
        <f t="shared" ca="1" si="6"/>
        <v>0</v>
      </c>
    </row>
    <row r="24" spans="1:21" ht="18.75" x14ac:dyDescent="0.3">
      <c r="A24" s="108" t="s">
        <v>100</v>
      </c>
      <c r="B24" s="176">
        <f>'Oslo Pensjonsforsikring'!B7+'Oslo Pensjonsforsikring'!B22+'Oslo Pensjonsforsikring'!B36+'Oslo Pensjonsforsikring'!B47+'Oslo Pensjonsforsikring'!B66+'Oslo Pensjonsforsikring'!B134</f>
        <v>1444566</v>
      </c>
      <c r="C24" s="176">
        <f>'Oslo Pensjonsforsikring'!C7+'Oslo Pensjonsforsikring'!C22+'Oslo Pensjonsforsikring'!C36+'Oslo Pensjonsforsikring'!C47+'Oslo Pensjonsforsikring'!C66+'Oslo Pensjonsforsikring'!C134</f>
        <v>1806904</v>
      </c>
      <c r="D24" s="104">
        <f t="shared" si="0"/>
        <v>25.1</v>
      </c>
      <c r="E24" s="358">
        <f t="shared" si="1"/>
        <v>5.0237251688922404</v>
      </c>
      <c r="F24" s="103"/>
      <c r="G24" s="176">
        <f>'Oslo Pensjonsforsikring'!B10+'Oslo Pensjonsforsikring'!B29+'Oslo Pensjonsforsikring'!B37+'Oslo Pensjonsforsikring'!B87+'Oslo Pensjonsforsikring'!B135</f>
        <v>72102299</v>
      </c>
      <c r="H24" s="176">
        <f>'Oslo Pensjonsforsikring'!C10+'Oslo Pensjonsforsikring'!C29+'Oslo Pensjonsforsikring'!C37+'Oslo Pensjonsforsikring'!C87+'Oslo Pensjonsforsikring'!C135</f>
        <v>75627238.392739996</v>
      </c>
      <c r="I24" s="104">
        <f t="shared" si="2"/>
        <v>4.9000000000000004</v>
      </c>
      <c r="J24" s="358">
        <f t="shared" si="3"/>
        <v>7.3343770570280595</v>
      </c>
      <c r="K24" s="139"/>
      <c r="L24" s="222">
        <f t="shared" ca="1" si="4"/>
        <v>0</v>
      </c>
      <c r="M24" s="220">
        <f t="shared" ca="1" si="5"/>
        <v>0</v>
      </c>
      <c r="N24" s="222" t="e">
        <f ca="1">INDIRECT("'" &amp; $A24 &amp; "'!" &amp;#REF!)</f>
        <v>#REF!</v>
      </c>
      <c r="O24" s="220">
        <f t="shared" ca="1" si="6"/>
        <v>0</v>
      </c>
    </row>
    <row r="25" spans="1:21" ht="18.75" x14ac:dyDescent="0.3">
      <c r="A25" s="108" t="s">
        <v>370</v>
      </c>
      <c r="B25" s="176">
        <f>'Protector Forsikring'!B7+'Protector Forsikring'!B22+'Protector Forsikring'!B36+'Protector Forsikring'!B47+'Protector Forsikring'!B66+'Protector Forsikring'!B134</f>
        <v>251893.27284613601</v>
      </c>
      <c r="C25" s="176">
        <f>'Protector Forsikring'!C7+'Protector Forsikring'!C22+'Protector Forsikring'!C36+'Protector Forsikring'!C47+'Protector Forsikring'!C66+'Protector Forsikring'!C134</f>
        <v>254608.63609938539</v>
      </c>
      <c r="D25" s="104">
        <f t="shared" si="0"/>
        <v>1.1000000000000001</v>
      </c>
      <c r="E25" s="358">
        <f t="shared" si="1"/>
        <v>0.70788697871597384</v>
      </c>
      <c r="F25" s="103"/>
      <c r="G25" s="176">
        <f>'Protector Forsikring'!B10+'Protector Forsikring'!B29+'Protector Forsikring'!B37+'Protector Forsikring'!B87+'Protector Forsikring'!B135</f>
        <v>0</v>
      </c>
      <c r="H25" s="176">
        <f>'Protector Forsikring'!C10+'Protector Forsikring'!C29+'Protector Forsikring'!C37+'Protector Forsikring'!C87+'Protector Forsikring'!C135</f>
        <v>0</v>
      </c>
      <c r="I25" s="104" t="str">
        <f t="shared" si="2"/>
        <v xml:space="preserve">    ---- </v>
      </c>
      <c r="J25" s="358">
        <f t="shared" si="3"/>
        <v>0</v>
      </c>
      <c r="K25" s="139"/>
      <c r="L25" s="222">
        <f t="shared" ca="1" si="4"/>
        <v>0</v>
      </c>
      <c r="M25" s="220">
        <f t="shared" ca="1" si="5"/>
        <v>0</v>
      </c>
      <c r="N25" s="222" t="e">
        <f ca="1">INDIRECT("'" &amp; $A25 &amp; "'!" &amp;#REF!)</f>
        <v>#REF!</v>
      </c>
      <c r="O25" s="220">
        <f t="shared" ca="1" si="6"/>
        <v>0</v>
      </c>
    </row>
    <row r="26" spans="1:21" ht="18.75" x14ac:dyDescent="0.3">
      <c r="A26" s="192" t="s">
        <v>70</v>
      </c>
      <c r="B26" s="176">
        <f>'Sparebank 1'!B7+'Sparebank 1'!B22+'Sparebank 1'!B36+'Sparebank 1'!B47+'Sparebank 1'!B66+'Sparebank 1'!B134</f>
        <v>1452699.33066</v>
      </c>
      <c r="C26" s="176">
        <f>'Sparebank 1'!C7+'Sparebank 1'!C22+'Sparebank 1'!C36+'Sparebank 1'!C47+'Sparebank 1'!C66+'Sparebank 1'!C134</f>
        <v>1574350.09069</v>
      </c>
      <c r="D26" s="104">
        <f t="shared" si="0"/>
        <v>8.4</v>
      </c>
      <c r="E26" s="358">
        <f t="shared" si="1"/>
        <v>4.3771568247384112</v>
      </c>
      <c r="F26" s="103"/>
      <c r="G26" s="176">
        <f>'Sparebank 1'!B10+'Sparebank 1'!B29+'Sparebank 1'!B37+'Sparebank 1'!B87+'Sparebank 1'!B135</f>
        <v>19103233.845959999</v>
      </c>
      <c r="H26" s="176">
        <f>'Sparebank 1'!C10+'Sparebank 1'!C29+'Sparebank 1'!C37+'Sparebank 1'!C87+'Sparebank 1'!C135</f>
        <v>20684132.106460001</v>
      </c>
      <c r="I26" s="104">
        <f t="shared" si="2"/>
        <v>8.3000000000000007</v>
      </c>
      <c r="J26" s="358">
        <f t="shared" si="3"/>
        <v>2.005960116887211</v>
      </c>
      <c r="K26" s="139"/>
      <c r="L26" s="222">
        <f t="shared" ca="1" si="4"/>
        <v>0</v>
      </c>
      <c r="M26" s="220">
        <f t="shared" ca="1" si="5"/>
        <v>0</v>
      </c>
      <c r="N26" s="222" t="e">
        <f ca="1">INDIRECT("'" &amp; $A26 &amp; "'!" &amp;#REF!)</f>
        <v>#REF!</v>
      </c>
      <c r="O26" s="220">
        <f t="shared" ca="1" si="6"/>
        <v>0</v>
      </c>
    </row>
    <row r="27" spans="1:21" ht="18.75" x14ac:dyDescent="0.3">
      <c r="A27" s="192" t="s">
        <v>101</v>
      </c>
      <c r="B27" s="176">
        <f>'Storebrand Livsforsikring'!B7+'Storebrand Livsforsikring'!B22+'Storebrand Livsforsikring'!B36+'Storebrand Livsforsikring'!B47+'Storebrand Livsforsikring'!B66+'Storebrand Livsforsikring'!B134</f>
        <v>3517282.2279999997</v>
      </c>
      <c r="C27" s="176">
        <f>'Storebrand Livsforsikring'!C7+'Storebrand Livsforsikring'!C22+'Storebrand Livsforsikring'!C36+'Storebrand Livsforsikring'!C47+'Storebrand Livsforsikring'!C66+'Storebrand Livsforsikring'!C134</f>
        <v>3421913.84</v>
      </c>
      <c r="D27" s="104">
        <f t="shared" si="0"/>
        <v>-2.7</v>
      </c>
      <c r="E27" s="358">
        <f t="shared" si="1"/>
        <v>9.5139280691108628</v>
      </c>
      <c r="F27" s="103"/>
      <c r="G27" s="176">
        <f>'Storebrand Livsforsikring'!B10+'Storebrand Livsforsikring'!B29+'Storebrand Livsforsikring'!B37+'Storebrand Livsforsikring'!B87+'Storebrand Livsforsikring'!B135</f>
        <v>181759928.14200002</v>
      </c>
      <c r="H27" s="176">
        <f>'Storebrand Livsforsikring'!C10+'Storebrand Livsforsikring'!C29+'Storebrand Livsforsikring'!C37+'Storebrand Livsforsikring'!C87+'Storebrand Livsforsikring'!C135</f>
        <v>181337324.64900005</v>
      </c>
      <c r="I27" s="104">
        <f t="shared" si="2"/>
        <v>-0.2</v>
      </c>
      <c r="J27" s="358">
        <f t="shared" si="3"/>
        <v>17.586207585442533</v>
      </c>
      <c r="K27" s="139"/>
      <c r="L27" s="222">
        <f t="shared" ca="1" si="4"/>
        <v>0</v>
      </c>
      <c r="M27" s="220">
        <f t="shared" ca="1" si="5"/>
        <v>0</v>
      </c>
      <c r="N27" s="222" t="e">
        <f ca="1">INDIRECT("'" &amp; $A27 &amp; "'!" &amp;#REF!)</f>
        <v>#REF!</v>
      </c>
      <c r="O27" s="220">
        <f t="shared" ca="1" si="6"/>
        <v>0</v>
      </c>
    </row>
    <row r="28" spans="1:21" ht="18.75" x14ac:dyDescent="0.3">
      <c r="A28" s="192" t="s">
        <v>102</v>
      </c>
      <c r="B28" s="176">
        <f>'Telenor Forsikring'!B7+'Telenor Forsikring'!B22+'Telenor Forsikring'!B36+'Telenor Forsikring'!B47+'Telenor Forsikring'!B66+'Telenor Forsikring'!B134</f>
        <v>20446</v>
      </c>
      <c r="C28" s="176">
        <f>'Telenor Forsikring'!C7+'Telenor Forsikring'!C22+'Telenor Forsikring'!C36+'Telenor Forsikring'!C47+'Telenor Forsikring'!C66+'Telenor Forsikring'!C134</f>
        <v>0</v>
      </c>
      <c r="D28" s="104">
        <f t="shared" si="0"/>
        <v>-100</v>
      </c>
      <c r="E28" s="358">
        <f t="shared" si="1"/>
        <v>0</v>
      </c>
      <c r="F28" s="103"/>
      <c r="G28" s="176">
        <f>'Telenor Forsikring'!B10+'Telenor Forsikring'!B29+'Telenor Forsikring'!B37+'Telenor Forsikring'!B87+'Telenor Forsikring'!B135</f>
        <v>0</v>
      </c>
      <c r="H28" s="176">
        <f>'Telenor Forsikring'!C10+'Telenor Forsikring'!C29+'Telenor Forsikring'!C37+'Telenor Forsikring'!C87+'Telenor Forsikring'!C135</f>
        <v>0</v>
      </c>
      <c r="I28" s="104" t="str">
        <f t="shared" si="2"/>
        <v xml:space="preserve">    ---- </v>
      </c>
      <c r="J28" s="358">
        <f t="shared" si="3"/>
        <v>0</v>
      </c>
      <c r="K28" s="206"/>
      <c r="L28" s="222">
        <f t="shared" ca="1" si="4"/>
        <v>0</v>
      </c>
      <c r="M28" s="220">
        <f t="shared" ca="1" si="5"/>
        <v>0</v>
      </c>
      <c r="N28" s="222" t="e">
        <f ca="1">INDIRECT("'" &amp; $A28 &amp; "'!" &amp;#REF!)</f>
        <v>#REF!</v>
      </c>
      <c r="O28" s="220">
        <f t="shared" ca="1" si="6"/>
        <v>0</v>
      </c>
    </row>
    <row r="29" spans="1:21" ht="18.75" x14ac:dyDescent="0.3">
      <c r="A29" s="192" t="s">
        <v>103</v>
      </c>
      <c r="B29" s="176">
        <f>'Tryg Forsikring'!B7+'Tryg Forsikring'!B22+'Tryg Forsikring'!B36+'Tryg Forsikring'!B47+'Tryg Forsikring'!B66+'Tryg Forsikring'!B134</f>
        <v>458835</v>
      </c>
      <c r="C29" s="176">
        <f>'Tryg Forsikring'!C7+'Tryg Forsikring'!C22+'Tryg Forsikring'!C36+'Tryg Forsikring'!C47+'Tryg Forsikring'!C66+'Tryg Forsikring'!C134</f>
        <v>543064</v>
      </c>
      <c r="D29" s="104">
        <f t="shared" si="0"/>
        <v>18.399999999999999</v>
      </c>
      <c r="E29" s="358">
        <f t="shared" si="1"/>
        <v>1.5098778270009341</v>
      </c>
      <c r="F29" s="103"/>
      <c r="G29" s="176">
        <f>'Tryg Forsikring'!B10+'Tryg Forsikring'!B29+'Tryg Forsikring'!B37+'Tryg Forsikring'!B87+'Tryg Forsikring'!B135</f>
        <v>0</v>
      </c>
      <c r="H29" s="176">
        <f>'Tryg Forsikring'!C10+'Tryg Forsikring'!C29+'Tryg Forsikring'!C37+'Tryg Forsikring'!C87+'Tryg Forsikring'!C135</f>
        <v>0</v>
      </c>
      <c r="I29" s="104" t="str">
        <f t="shared" si="2"/>
        <v xml:space="preserve">    ---- </v>
      </c>
      <c r="J29" s="358">
        <f t="shared" si="3"/>
        <v>0</v>
      </c>
      <c r="K29" s="206"/>
      <c r="L29" s="222">
        <f t="shared" ca="1" si="4"/>
        <v>0</v>
      </c>
      <c r="M29" s="220">
        <f t="shared" ca="1" si="5"/>
        <v>0</v>
      </c>
      <c r="N29" s="222" t="e">
        <f ca="1">INDIRECT("'" &amp; $A29 &amp; "'!" &amp;#REF!)</f>
        <v>#REF!</v>
      </c>
      <c r="O29" s="220">
        <f t="shared" ca="1" si="6"/>
        <v>0</v>
      </c>
    </row>
    <row r="30" spans="1:21" s="111" customFormat="1" ht="18.75" x14ac:dyDescent="0.3">
      <c r="A30" s="137" t="s">
        <v>104</v>
      </c>
      <c r="B30" s="178">
        <f>SUM(B9:B29)</f>
        <v>35484177.52521266</v>
      </c>
      <c r="C30" s="240">
        <f>SUM(C9:C29)</f>
        <v>35967413.408453479</v>
      </c>
      <c r="D30" s="104">
        <f t="shared" si="0"/>
        <v>1.4</v>
      </c>
      <c r="E30" s="359">
        <f>SUM(E9:E29)</f>
        <v>100</v>
      </c>
      <c r="F30" s="109"/>
      <c r="G30" s="178">
        <f>SUM(G9:G29)</f>
        <v>1000522014.8185697</v>
      </c>
      <c r="H30" s="178">
        <f>SUM(H9:H29)</f>
        <v>1031133766.4358461</v>
      </c>
      <c r="I30" s="104">
        <f t="shared" si="2"/>
        <v>3.1</v>
      </c>
      <c r="J30" s="359">
        <f>SUM(J9:J29)</f>
        <v>100</v>
      </c>
      <c r="K30" s="208"/>
      <c r="L30" s="222">
        <f ca="1">SUM(L9:L29)</f>
        <v>0</v>
      </c>
      <c r="M30" s="220">
        <f ca="1">SUM(M9:M29)</f>
        <v>0</v>
      </c>
      <c r="N30" s="222" t="e">
        <f ca="1">SUM(N9:N29)</f>
        <v>#REF!</v>
      </c>
      <c r="O30" s="220">
        <f ca="1">SUM(O9:O29)</f>
        <v>0</v>
      </c>
      <c r="U30" s="204"/>
    </row>
    <row r="31" spans="1:21" ht="18.75" x14ac:dyDescent="0.3">
      <c r="A31" s="86"/>
      <c r="B31" s="176"/>
      <c r="C31" s="139"/>
      <c r="D31" s="104"/>
      <c r="E31" s="358"/>
      <c r="F31" s="103"/>
      <c r="G31" s="176"/>
      <c r="H31" s="103"/>
      <c r="I31" s="104"/>
      <c r="J31" s="358"/>
      <c r="K31" s="206"/>
      <c r="L31" s="219" t="s">
        <v>1</v>
      </c>
      <c r="M31" s="220"/>
      <c r="N31" s="222"/>
      <c r="O31" s="220"/>
    </row>
    <row r="32" spans="1:21" ht="18.75" x14ac:dyDescent="0.3">
      <c r="A32" s="101" t="s">
        <v>1</v>
      </c>
      <c r="B32" s="176"/>
      <c r="C32" s="139"/>
      <c r="D32" s="104"/>
      <c r="E32" s="358"/>
      <c r="F32" s="103"/>
      <c r="G32" s="176"/>
      <c r="H32" s="103"/>
      <c r="I32" s="104"/>
      <c r="J32" s="358"/>
      <c r="K32" s="206"/>
      <c r="L32" s="223">
        <v>2015</v>
      </c>
      <c r="M32" s="224">
        <v>2016</v>
      </c>
      <c r="N32" s="223">
        <v>2015</v>
      </c>
      <c r="O32" s="224">
        <v>2016</v>
      </c>
      <c r="P32" s="87" t="s">
        <v>158</v>
      </c>
    </row>
    <row r="33" spans="1:20" ht="18.75" x14ac:dyDescent="0.3">
      <c r="A33" s="107" t="s">
        <v>86</v>
      </c>
      <c r="B33" s="130">
        <f>'Danica Pensjonsforsikring'!F7+'Danica Pensjonsforsikring'!F22+'Danica Pensjonsforsikring'!F66+'Danica Pensjonsforsikring'!F134</f>
        <v>930551.38800000004</v>
      </c>
      <c r="C33" s="130">
        <f>'Danica Pensjonsforsikring'!G7+'Danica Pensjonsforsikring'!G22+'Danica Pensjonsforsikring'!G66+'Danica Pensjonsforsikring'!G134</f>
        <v>974428.50600000005</v>
      </c>
      <c r="D33" s="104">
        <f t="shared" ref="D33:D43" si="7">IF(B33=0, "    ---- ", IF(ABS(ROUND(100/B33*C33-100,1))&lt;999,ROUND(100/B33*C33-100,1),IF(ROUND(100/B33*C33-100,1)&gt;999,999,-999)))</f>
        <v>4.7</v>
      </c>
      <c r="E33" s="358">
        <f t="shared" ref="E33:E42" si="8">100/C$43*C33</f>
        <v>4.5547494631742804</v>
      </c>
      <c r="F33" s="103"/>
      <c r="G33" s="176">
        <f>'Danica Pensjonsforsikring'!F10+'Danica Pensjonsforsikring'!F29+'Danica Pensjonsforsikring'!F87+'Danica Pensjonsforsikring'!F135</f>
        <v>17266330.386</v>
      </c>
      <c r="H33" s="176">
        <f>'Danica Pensjonsforsikring'!G10+'Danica Pensjonsforsikring'!G29+'Danica Pensjonsforsikring'!G87+'Danica Pensjonsforsikring'!G135</f>
        <v>19030607.528999999</v>
      </c>
      <c r="I33" s="104">
        <f t="shared" ref="I33:I43" si="9">IF(G33=0, "    ---- ", IF(ABS(ROUND(100/G33*H33-100,1))&lt;999,ROUND(100/G33*H33-100,1),IF(ROUND(100/G33*H33-100,1)&gt;999,999,-999)))</f>
        <v>10.199999999999999</v>
      </c>
      <c r="J33" s="358">
        <f t="shared" ref="J33:J42" si="10">100/H$43*H33</f>
        <v>5.3871802401811966</v>
      </c>
      <c r="K33" s="206" t="s">
        <v>148</v>
      </c>
      <c r="L33" s="222">
        <f t="shared" ref="L33:L42" ca="1" si="11">INDIRECT("'" &amp; $A33 &amp; "'!" &amp; $P$32)</f>
        <v>0</v>
      </c>
      <c r="M33" s="220">
        <f t="shared" ref="M33:M42" ca="1" si="12">INDIRECT("'" &amp; $A33 &amp; "'!" &amp; $P$33)</f>
        <v>0</v>
      </c>
      <c r="N33" s="222">
        <f t="shared" ref="N33:N42" ca="1" si="13">INDIRECT("'" &amp; $A33 &amp; "'!" &amp; $P$34)</f>
        <v>0</v>
      </c>
      <c r="O33" s="220">
        <f t="shared" ref="O33:O42" ca="1" si="14">INDIRECT("'"&amp;$A33&amp;"'!"&amp;$P$35)</f>
        <v>0</v>
      </c>
      <c r="P33" s="87" t="s">
        <v>160</v>
      </c>
    </row>
    <row r="34" spans="1:20" ht="18.75" x14ac:dyDescent="0.3">
      <c r="A34" s="86" t="s">
        <v>87</v>
      </c>
      <c r="B34" s="130">
        <f>'DNB Livsforsikring'!F7+'DNB Livsforsikring'!F22+'DNB Livsforsikring'!F66+'DNB Livsforsikring'!F134</f>
        <v>4208747</v>
      </c>
      <c r="C34" s="130">
        <f>'DNB Livsforsikring'!G7+'DNB Livsforsikring'!G22+'DNB Livsforsikring'!G66+'DNB Livsforsikring'!G134</f>
        <v>4802393.8430000003</v>
      </c>
      <c r="D34" s="104">
        <f t="shared" si="7"/>
        <v>14.1</v>
      </c>
      <c r="E34" s="358">
        <f t="shared" si="8"/>
        <v>22.447722581666468</v>
      </c>
      <c r="F34" s="103"/>
      <c r="G34" s="176">
        <f>'DNB Livsforsikring'!F10+'DNB Livsforsikring'!F29+'DNB Livsforsikring'!F87+'DNB Livsforsikring'!F135</f>
        <v>78277486.437999994</v>
      </c>
      <c r="H34" s="176">
        <f>'DNB Livsforsikring'!G10+'DNB Livsforsikring'!G29+'DNB Livsforsikring'!G87+'DNB Livsforsikring'!G135</f>
        <v>89715002.026999995</v>
      </c>
      <c r="I34" s="104">
        <f t="shared" si="9"/>
        <v>14.6</v>
      </c>
      <c r="J34" s="358">
        <f t="shared" si="10"/>
        <v>25.396503260926998</v>
      </c>
      <c r="K34" s="87" t="s">
        <v>155</v>
      </c>
      <c r="L34" s="222">
        <f t="shared" ca="1" si="11"/>
        <v>0</v>
      </c>
      <c r="M34" s="220">
        <f t="shared" ca="1" si="12"/>
        <v>0</v>
      </c>
      <c r="N34" s="222">
        <f t="shared" ca="1" si="13"/>
        <v>0</v>
      </c>
      <c r="O34" s="220">
        <f t="shared" ca="1" si="14"/>
        <v>0</v>
      </c>
      <c r="P34" s="87" t="s">
        <v>159</v>
      </c>
    </row>
    <row r="35" spans="1:20" ht="18.75" x14ac:dyDescent="0.3">
      <c r="A35" s="107" t="s">
        <v>89</v>
      </c>
      <c r="B35" s="130">
        <f>'Frende Livsforsikring'!F7+'Frende Livsforsikring'!F22+'Frende Livsforsikring'!F66+'Frende Livsforsikring'!F134</f>
        <v>178093</v>
      </c>
      <c r="C35" s="130">
        <f>'Frende Livsforsikring'!G7+'Frende Livsforsikring'!G22+'Frende Livsforsikring'!G66+'Frende Livsforsikring'!G134</f>
        <v>196043</v>
      </c>
      <c r="D35" s="104">
        <f t="shared" si="7"/>
        <v>10.1</v>
      </c>
      <c r="E35" s="358">
        <f t="shared" si="8"/>
        <v>0.91635942864039677</v>
      </c>
      <c r="F35" s="103"/>
      <c r="G35" s="176">
        <f>'Frende Livsforsikring'!F10+'Frende Livsforsikring'!F29+'Frende Livsforsikring'!F87+'Frende Livsforsikring'!F135</f>
        <v>3320021</v>
      </c>
      <c r="H35" s="176">
        <f>'Frende Livsforsikring'!G10+'Frende Livsforsikring'!G29+'Frende Livsforsikring'!G87+'Frende Livsforsikring'!G135</f>
        <v>3826787</v>
      </c>
      <c r="I35" s="104">
        <f t="shared" si="9"/>
        <v>15.3</v>
      </c>
      <c r="J35" s="358">
        <f t="shared" si="10"/>
        <v>1.083286031639662</v>
      </c>
      <c r="K35" s="87" t="s">
        <v>149</v>
      </c>
      <c r="L35" s="222">
        <f t="shared" ca="1" si="11"/>
        <v>0</v>
      </c>
      <c r="M35" s="220">
        <f t="shared" ca="1" si="12"/>
        <v>0</v>
      </c>
      <c r="N35" s="222">
        <f t="shared" ca="1" si="13"/>
        <v>0</v>
      </c>
      <c r="O35" s="220">
        <f t="shared" ca="1" si="14"/>
        <v>0</v>
      </c>
      <c r="P35" s="87" t="s">
        <v>161</v>
      </c>
    </row>
    <row r="36" spans="1:20" ht="18.75" x14ac:dyDescent="0.3">
      <c r="A36" s="107" t="s">
        <v>92</v>
      </c>
      <c r="B36" s="130">
        <f>'Gjensidige Pensjon'!F7+'Gjensidige Pensjon'!F22+'Gjensidige Pensjon'!F66+'Gjensidige Pensjon'!F134</f>
        <v>1378089</v>
      </c>
      <c r="C36" s="130">
        <f>'Gjensidige Pensjon'!G7+'Gjensidige Pensjon'!G22+'Gjensidige Pensjon'!G66+'Gjensidige Pensjon'!G134</f>
        <v>1561713.2</v>
      </c>
      <c r="D36" s="104">
        <f t="shared" si="7"/>
        <v>13.3</v>
      </c>
      <c r="E36" s="358">
        <f t="shared" si="8"/>
        <v>7.2998812283640104</v>
      </c>
      <c r="F36" s="103"/>
      <c r="G36" s="176">
        <f>'Gjensidige Pensjon'!F10+'Gjensidige Pensjon'!F29+'Gjensidige Pensjon'!F87+'Gjensidige Pensjon'!F135</f>
        <v>23904710</v>
      </c>
      <c r="H36" s="176">
        <f>'Gjensidige Pensjon'!G10+'Gjensidige Pensjon'!G29+'Gjensidige Pensjon'!G87+'Gjensidige Pensjon'!G135</f>
        <v>27221258.799999997</v>
      </c>
      <c r="I36" s="104">
        <f t="shared" si="9"/>
        <v>13.9</v>
      </c>
      <c r="J36" s="358">
        <f t="shared" si="10"/>
        <v>7.7057880205217124</v>
      </c>
      <c r="K36" s="87" t="s">
        <v>156</v>
      </c>
      <c r="L36" s="222">
        <f t="shared" ca="1" si="11"/>
        <v>0</v>
      </c>
      <c r="M36" s="220">
        <f t="shared" ca="1" si="12"/>
        <v>0</v>
      </c>
      <c r="N36" s="222">
        <f t="shared" ca="1" si="13"/>
        <v>0</v>
      </c>
      <c r="O36" s="220">
        <f t="shared" ca="1" si="14"/>
        <v>0</v>
      </c>
    </row>
    <row r="37" spans="1:20" ht="18.75" x14ac:dyDescent="0.3">
      <c r="A37" s="107" t="s">
        <v>63</v>
      </c>
      <c r="B37" s="130">
        <f>KLP!F7+KLP!F22+KLP!F66+KLP!F134</f>
        <v>90028.570999999996</v>
      </c>
      <c r="C37" s="130">
        <f>KLP!G7+KLP!G22+KLP!G66+KLP!G134</f>
        <v>89130.341</v>
      </c>
      <c r="D37" s="104">
        <f t="shared" si="7"/>
        <v>-1</v>
      </c>
      <c r="E37" s="358">
        <f t="shared" si="8"/>
        <v>0.41661996782993393</v>
      </c>
      <c r="F37" s="103"/>
      <c r="G37" s="176">
        <f>KLP!F10+KLP!F29+KLP!F87+KLP!F135</f>
        <v>2451095.8211500002</v>
      </c>
      <c r="H37" s="176">
        <f>KLP!G10+KLP!G29+KLP!G87+KLP!G135</f>
        <v>2587219.1831499999</v>
      </c>
      <c r="I37" s="104">
        <f t="shared" si="9"/>
        <v>5.6</v>
      </c>
      <c r="J37" s="358">
        <f t="shared" si="10"/>
        <v>0.73238944364987424</v>
      </c>
      <c r="K37" s="87" t="s">
        <v>150</v>
      </c>
      <c r="L37" s="222">
        <f t="shared" ca="1" si="11"/>
        <v>0</v>
      </c>
      <c r="M37" s="220">
        <f t="shared" ca="1" si="12"/>
        <v>0</v>
      </c>
      <c r="N37" s="222">
        <f t="shared" ca="1" si="13"/>
        <v>0</v>
      </c>
      <c r="O37" s="220">
        <f t="shared" ca="1" si="14"/>
        <v>0</v>
      </c>
    </row>
    <row r="38" spans="1:20" ht="18.75" x14ac:dyDescent="0.3">
      <c r="A38" s="107" t="s">
        <v>95</v>
      </c>
      <c r="B38" s="130">
        <f>'KLP Bedriftspensjon AS'!F7+'KLP Bedriftspensjon AS'!F22+'KLP Bedriftspensjon AS'!F66+'KLP Bedriftspensjon AS'!F134</f>
        <v>210392</v>
      </c>
      <c r="C38" s="130">
        <f>'KLP Bedriftspensjon AS'!G7+'KLP Bedriftspensjon AS'!G22+'KLP Bedriftspensjon AS'!G66+'KLP Bedriftspensjon AS'!G134</f>
        <v>267105</v>
      </c>
      <c r="D38" s="104">
        <f t="shared" si="7"/>
        <v>27</v>
      </c>
      <c r="E38" s="358">
        <f t="shared" si="8"/>
        <v>1.2485229525511912</v>
      </c>
      <c r="F38" s="103"/>
      <c r="G38" s="176">
        <f>'KLP Bedriftspensjon AS'!F10+'KLP Bedriftspensjon AS'!F29+'KLP Bedriftspensjon AS'!F87+'KLP Bedriftspensjon AS'!F135</f>
        <v>3075141</v>
      </c>
      <c r="H38" s="176">
        <f>'KLP Bedriftspensjon AS'!G10+'KLP Bedriftspensjon AS'!G29+'KLP Bedriftspensjon AS'!G87+'KLP Bedriftspensjon AS'!G135</f>
        <v>4242225</v>
      </c>
      <c r="I38" s="104">
        <f t="shared" si="9"/>
        <v>38</v>
      </c>
      <c r="J38" s="358">
        <f t="shared" si="10"/>
        <v>1.2008881303225303</v>
      </c>
      <c r="K38" s="87" t="s">
        <v>157</v>
      </c>
      <c r="L38" s="222">
        <f t="shared" ca="1" si="11"/>
        <v>0</v>
      </c>
      <c r="M38" s="220">
        <f t="shared" ca="1" si="12"/>
        <v>0</v>
      </c>
      <c r="N38" s="222">
        <f t="shared" ca="1" si="13"/>
        <v>0</v>
      </c>
      <c r="O38" s="220">
        <f t="shared" ca="1" si="14"/>
        <v>0</v>
      </c>
    </row>
    <row r="39" spans="1:20" ht="18.75" x14ac:dyDescent="0.3">
      <c r="A39" s="107" t="s">
        <v>99</v>
      </c>
      <c r="B39" s="130">
        <f>'Nordea Liv '!F7+'Nordea Liv '!F22+'Nordea Liv '!F66+'Nordea Liv '!F134</f>
        <v>4286493.9119699998</v>
      </c>
      <c r="C39" s="130">
        <f>'Nordea Liv '!G7+'Nordea Liv '!G22+'Nordea Liv '!G66+'Nordea Liv '!G134</f>
        <v>5841396.8032999998</v>
      </c>
      <c r="D39" s="104">
        <f t="shared" si="7"/>
        <v>36.299999999999997</v>
      </c>
      <c r="E39" s="358">
        <f t="shared" si="8"/>
        <v>27.304310978376318</v>
      </c>
      <c r="F39" s="103"/>
      <c r="G39" s="176">
        <f>'Nordea Liv '!F10+'Nordea Liv '!F29+'Nordea Liv '!F87+'Nordea Liv '!F135</f>
        <v>60641550</v>
      </c>
      <c r="H39" s="176">
        <f>'Nordea Liv '!G10+'Nordea Liv '!G29+'Nordea Liv '!G87+'Nordea Liv '!G135</f>
        <v>68352090.000000089</v>
      </c>
      <c r="I39" s="104">
        <f t="shared" si="9"/>
        <v>12.7</v>
      </c>
      <c r="J39" s="358">
        <f t="shared" si="10"/>
        <v>19.349094770724662</v>
      </c>
      <c r="K39" s="206"/>
      <c r="L39" s="222">
        <f t="shared" ca="1" si="11"/>
        <v>0</v>
      </c>
      <c r="M39" s="220">
        <f t="shared" ca="1" si="12"/>
        <v>0</v>
      </c>
      <c r="N39" s="222">
        <f t="shared" ca="1" si="13"/>
        <v>0</v>
      </c>
      <c r="O39" s="220">
        <f t="shared" ca="1" si="14"/>
        <v>0</v>
      </c>
    </row>
    <row r="40" spans="1:20" ht="18.75" x14ac:dyDescent="0.3">
      <c r="A40" s="107" t="s">
        <v>74</v>
      </c>
      <c r="B40" s="130">
        <f>'SHB Liv'!F7+'SHB Liv'!F22+'SHB Liv'!F66+'SHB Liv'!F134</f>
        <v>73667</v>
      </c>
      <c r="C40" s="130">
        <f>'SHB Liv'!G7+'SHB Liv'!G22+'SHB Liv'!G66+'SHB Liv'!G134</f>
        <v>69806.938299999994</v>
      </c>
      <c r="D40" s="104">
        <f t="shared" si="7"/>
        <v>-5.2</v>
      </c>
      <c r="E40" s="358">
        <f t="shared" si="8"/>
        <v>0.32629701695915397</v>
      </c>
      <c r="F40" s="103"/>
      <c r="G40" s="176">
        <f>'SHB Liv'!F10+'SHB Liv'!F29+'SHB Liv'!F87+'SHB Liv'!F135</f>
        <v>2163599</v>
      </c>
      <c r="H40" s="176">
        <f>'SHB Liv'!G10+'SHB Liv'!G29+'SHB Liv'!G87+'SHB Liv'!G135</f>
        <v>2307693.03969</v>
      </c>
      <c r="I40" s="104">
        <f t="shared" si="9"/>
        <v>6.7</v>
      </c>
      <c r="J40" s="358">
        <f t="shared" si="10"/>
        <v>0.65326124375572747</v>
      </c>
      <c r="K40" s="206"/>
      <c r="L40" s="222">
        <f t="shared" ca="1" si="11"/>
        <v>0</v>
      </c>
      <c r="M40" s="220">
        <f t="shared" ca="1" si="12"/>
        <v>0</v>
      </c>
      <c r="N40" s="222">
        <f t="shared" ca="1" si="13"/>
        <v>0</v>
      </c>
      <c r="O40" s="220">
        <f t="shared" ca="1" si="14"/>
        <v>0</v>
      </c>
    </row>
    <row r="41" spans="1:20" ht="18.75" x14ac:dyDescent="0.3">
      <c r="A41" s="86" t="s">
        <v>70</v>
      </c>
      <c r="B41" s="130">
        <f>'Sparebank 1'!F7+'Sparebank 1'!F22+'Sparebank 1'!F66+'Sparebank 1'!F134</f>
        <v>1866273.1100599999</v>
      </c>
      <c r="C41" s="130">
        <f>'Sparebank 1'!G7+'Sparebank 1'!G22+'Sparebank 1'!G66+'Sparebank 1'!G134</f>
        <v>2141160.6392800002</v>
      </c>
      <c r="D41" s="104">
        <f t="shared" si="7"/>
        <v>14.7</v>
      </c>
      <c r="E41" s="358">
        <f t="shared" si="8"/>
        <v>10.00837948836698</v>
      </c>
      <c r="F41" s="103"/>
      <c r="G41" s="176">
        <f>'Sparebank 1'!F10+'Sparebank 1'!F29+'Sparebank 1'!F87+'Sparebank 1'!F135</f>
        <v>28011120.555509999</v>
      </c>
      <c r="H41" s="176">
        <f>'Sparebank 1'!G10+'Sparebank 1'!G29+'Sparebank 1'!G87+'Sparebank 1'!G135</f>
        <v>32200221.129759997</v>
      </c>
      <c r="I41" s="104">
        <f t="shared" si="9"/>
        <v>15</v>
      </c>
      <c r="J41" s="358">
        <f t="shared" si="10"/>
        <v>9.1152315939134585</v>
      </c>
      <c r="K41" s="139"/>
      <c r="L41" s="222">
        <f t="shared" ca="1" si="11"/>
        <v>0</v>
      </c>
      <c r="M41" s="220">
        <f t="shared" ca="1" si="12"/>
        <v>0</v>
      </c>
      <c r="N41" s="222">
        <f t="shared" ca="1" si="13"/>
        <v>0</v>
      </c>
      <c r="O41" s="220">
        <f t="shared" ca="1" si="14"/>
        <v>0</v>
      </c>
    </row>
    <row r="42" spans="1:20" ht="18.75" x14ac:dyDescent="0.3">
      <c r="A42" s="86" t="s">
        <v>101</v>
      </c>
      <c r="B42" s="130">
        <f>'Storebrand Livsforsikring'!F7+'Storebrand Livsforsikring'!F22+'Storebrand Livsforsikring'!F66+'Storebrand Livsforsikring'!F134</f>
        <v>5304820.9420000007</v>
      </c>
      <c r="C42" s="130">
        <f>'Storebrand Livsforsikring'!G7+'Storebrand Livsforsikring'!G22+'Storebrand Livsforsikring'!G66+'Storebrand Livsforsikring'!G134</f>
        <v>5450501.3129999992</v>
      </c>
      <c r="D42" s="104">
        <f t="shared" si="7"/>
        <v>2.7</v>
      </c>
      <c r="E42" s="358">
        <f t="shared" si="8"/>
        <v>25.47715689407126</v>
      </c>
      <c r="F42" s="103"/>
      <c r="G42" s="176">
        <f>'Storebrand Livsforsikring'!F10+'Storebrand Livsforsikring'!F29+'Storebrand Livsforsikring'!F87+'Storebrand Livsforsikring'!F135</f>
        <v>93597754.061000004</v>
      </c>
      <c r="H42" s="176">
        <f>'Storebrand Livsforsikring'!G10+'Storebrand Livsforsikring'!G29+'Storebrand Livsforsikring'!G87+'Storebrand Livsforsikring'!G135</f>
        <v>103774197.524</v>
      </c>
      <c r="I42" s="104">
        <f t="shared" si="9"/>
        <v>10.9</v>
      </c>
      <c r="J42" s="358">
        <f t="shared" si="10"/>
        <v>29.376377264364177</v>
      </c>
      <c r="K42" s="139"/>
      <c r="L42" s="222">
        <f t="shared" ca="1" si="11"/>
        <v>0</v>
      </c>
      <c r="M42" s="220">
        <f t="shared" ca="1" si="12"/>
        <v>0</v>
      </c>
      <c r="N42" s="222">
        <f t="shared" ca="1" si="13"/>
        <v>0</v>
      </c>
      <c r="O42" s="220">
        <f t="shared" ca="1" si="14"/>
        <v>0</v>
      </c>
    </row>
    <row r="43" spans="1:20" s="111" customFormat="1" ht="18.75" x14ac:dyDescent="0.3">
      <c r="A43" s="101" t="s">
        <v>105</v>
      </c>
      <c r="B43" s="240">
        <f>SUM(B33:B42)</f>
        <v>18527155.92303</v>
      </c>
      <c r="C43" s="240">
        <f>SUM(C33:C42)</f>
        <v>21393679.58388</v>
      </c>
      <c r="D43" s="104">
        <f t="shared" si="7"/>
        <v>15.5</v>
      </c>
      <c r="E43" s="359">
        <f>SUM(E33:E42)</f>
        <v>100</v>
      </c>
      <c r="F43" s="109"/>
      <c r="G43" s="178">
        <f>SUM(G33:G42)</f>
        <v>312708808.26165998</v>
      </c>
      <c r="H43" s="178">
        <f>SUM(H33:H42)</f>
        <v>353257301.23260009</v>
      </c>
      <c r="I43" s="104">
        <f t="shared" si="9"/>
        <v>13</v>
      </c>
      <c r="J43" s="359">
        <f>SUM(J33:J42)</f>
        <v>100</v>
      </c>
      <c r="K43" s="139"/>
      <c r="L43" s="222">
        <f ca="1">SUM(L33:L42)</f>
        <v>0</v>
      </c>
      <c r="M43" s="220">
        <f ca="1">SUM(M33:M42)</f>
        <v>0</v>
      </c>
      <c r="N43" s="222">
        <f ca="1">SUM(N33:N42)</f>
        <v>0</v>
      </c>
      <c r="O43" s="220">
        <f ca="1">SUM(O33:O42)</f>
        <v>0</v>
      </c>
    </row>
    <row r="44" spans="1:20" ht="18.75" x14ac:dyDescent="0.3">
      <c r="A44" s="101"/>
      <c r="B44" s="130"/>
      <c r="C44" s="109"/>
      <c r="D44" s="110"/>
      <c r="E44" s="358"/>
      <c r="F44" s="109"/>
      <c r="G44" s="178"/>
      <c r="H44" s="109"/>
      <c r="I44" s="110"/>
      <c r="J44" s="359"/>
      <c r="K44" s="139"/>
      <c r="L44" s="219" t="s">
        <v>106</v>
      </c>
      <c r="M44" s="225"/>
      <c r="N44" s="226"/>
      <c r="O44" s="225"/>
    </row>
    <row r="45" spans="1:20" ht="18.75" x14ac:dyDescent="0.3">
      <c r="A45" s="86"/>
      <c r="B45" s="130"/>
      <c r="C45" s="103"/>
      <c r="D45" s="104"/>
      <c r="E45" s="358"/>
      <c r="F45" s="103"/>
      <c r="G45" s="176"/>
      <c r="H45" s="103"/>
      <c r="I45" s="104"/>
      <c r="J45" s="358"/>
      <c r="K45" s="139"/>
      <c r="L45" s="223">
        <v>2015</v>
      </c>
      <c r="M45" s="224">
        <v>2016</v>
      </c>
      <c r="N45" s="223">
        <v>2015</v>
      </c>
      <c r="O45" s="224">
        <v>2016</v>
      </c>
    </row>
    <row r="46" spans="1:20" ht="18.75" x14ac:dyDescent="0.3">
      <c r="A46" s="101" t="s">
        <v>106</v>
      </c>
      <c r="B46" s="130"/>
      <c r="C46" s="103"/>
      <c r="D46" s="104"/>
      <c r="E46" s="358"/>
      <c r="F46" s="103"/>
      <c r="G46" s="176"/>
      <c r="H46" s="103"/>
      <c r="I46" s="104"/>
      <c r="J46" s="358"/>
      <c r="K46" s="139"/>
      <c r="L46" s="222"/>
      <c r="M46" s="220"/>
      <c r="N46" s="222"/>
      <c r="O46" s="220"/>
      <c r="P46" s="206"/>
      <c r="Q46" s="206"/>
      <c r="R46" s="206"/>
      <c r="S46" s="181"/>
      <c r="T46" s="139"/>
    </row>
    <row r="47" spans="1:20" ht="18.75" x14ac:dyDescent="0.3">
      <c r="A47" s="107" t="s">
        <v>86</v>
      </c>
      <c r="B47" s="130">
        <f>B9+B33</f>
        <v>1138250.7850000001</v>
      </c>
      <c r="C47" s="103">
        <f>C9+C33</f>
        <v>1186164.3390000002</v>
      </c>
      <c r="D47" s="104">
        <f t="shared" ref="D47:D68" si="15">IF(B47=0, "    ---- ", IF(ABS(ROUND(100/B47*C47-100,1))&lt;999,ROUND(100/B47*C47-100,1),IF(ROUND(100/B47*C47-100,1)&gt;999,999,-999)))</f>
        <v>4.2</v>
      </c>
      <c r="E47" s="358">
        <f t="shared" ref="E47:E68" si="16">100/C$69*C47</f>
        <v>2.067890057740942</v>
      </c>
      <c r="F47" s="103"/>
      <c r="G47" s="176">
        <f>G9+G33</f>
        <v>18328774.274999999</v>
      </c>
      <c r="H47" s="176">
        <f>H9+H33</f>
        <v>20230062.075999998</v>
      </c>
      <c r="I47" s="104">
        <f t="shared" ref="I47:I68" si="17">IF(G47=0, "    ---- ", IF(ABS(ROUND(100/G47*H47-100,1))&lt;999,ROUND(100/G47*H47-100,1),IF(ROUND(100/G47*H47-100,1)&gt;999,999,-999)))</f>
        <v>10.4</v>
      </c>
      <c r="J47" s="358">
        <f t="shared" ref="J47:J68" si="18">100/H$69*H47</f>
        <v>1.4612967786675277</v>
      </c>
      <c r="K47" s="139"/>
      <c r="L47" s="222">
        <f ca="1">L9+L33</f>
        <v>0</v>
      </c>
      <c r="M47" s="220">
        <f ca="1">M9+M33</f>
        <v>0</v>
      </c>
      <c r="N47" s="222" t="e">
        <f ca="1">N9+N33</f>
        <v>#REF!</v>
      </c>
      <c r="O47" s="220">
        <f ca="1">O9+O33</f>
        <v>0</v>
      </c>
      <c r="P47" s="206"/>
      <c r="Q47" s="206"/>
      <c r="R47" s="206"/>
      <c r="S47" s="181"/>
      <c r="T47" s="139"/>
    </row>
    <row r="48" spans="1:20" ht="18.75" x14ac:dyDescent="0.3">
      <c r="A48" s="86" t="s">
        <v>87</v>
      </c>
      <c r="B48" s="130">
        <f>B10+B34</f>
        <v>6887438</v>
      </c>
      <c r="C48" s="103">
        <f>+C10+C34</f>
        <v>7514987.7401200002</v>
      </c>
      <c r="D48" s="104">
        <f t="shared" si="15"/>
        <v>9.1</v>
      </c>
      <c r="E48" s="358">
        <f t="shared" si="16"/>
        <v>13.101193418898777</v>
      </c>
      <c r="F48" s="103"/>
      <c r="G48" s="176">
        <f>+G10+G34</f>
        <v>280272567.43799996</v>
      </c>
      <c r="H48" s="176">
        <f>+H10+H34</f>
        <v>289316128.15600002</v>
      </c>
      <c r="I48" s="104">
        <f t="shared" si="17"/>
        <v>3.2</v>
      </c>
      <c r="J48" s="358">
        <f t="shared" si="18"/>
        <v>20.89843938701933</v>
      </c>
      <c r="K48" s="139"/>
      <c r="L48" s="222">
        <f ca="1">L10+L34</f>
        <v>0</v>
      </c>
      <c r="M48" s="220">
        <f ca="1">+M10+M34</f>
        <v>0</v>
      </c>
      <c r="N48" s="222" t="e">
        <f ca="1">+N10+N34</f>
        <v>#REF!</v>
      </c>
      <c r="O48" s="220">
        <f ca="1">+O10+O34</f>
        <v>0</v>
      </c>
      <c r="P48" s="206"/>
      <c r="Q48" s="206"/>
      <c r="R48" s="206"/>
      <c r="S48" s="181"/>
      <c r="T48" s="139"/>
    </row>
    <row r="49" spans="1:20" ht="18.75" x14ac:dyDescent="0.3">
      <c r="A49" s="86" t="s">
        <v>88</v>
      </c>
      <c r="B49" s="130">
        <f>B11</f>
        <v>167974</v>
      </c>
      <c r="C49" s="103">
        <f>C11</f>
        <v>192435</v>
      </c>
      <c r="D49" s="104">
        <f t="shared" si="15"/>
        <v>14.6</v>
      </c>
      <c r="E49" s="358">
        <f t="shared" si="16"/>
        <v>0.33548000911649239</v>
      </c>
      <c r="F49" s="103"/>
      <c r="G49" s="176">
        <f>G11</f>
        <v>0</v>
      </c>
      <c r="H49" s="176">
        <f>H11</f>
        <v>0</v>
      </c>
      <c r="I49" s="104" t="str">
        <f t="shared" si="17"/>
        <v xml:space="preserve">    ---- </v>
      </c>
      <c r="J49" s="358">
        <f t="shared" si="18"/>
        <v>0</v>
      </c>
      <c r="K49" s="139"/>
      <c r="L49" s="222">
        <f ca="1">L11</f>
        <v>0</v>
      </c>
      <c r="M49" s="220">
        <f ca="1">M11</f>
        <v>0</v>
      </c>
      <c r="N49" s="222" t="e">
        <f ca="1">N11</f>
        <v>#REF!</v>
      </c>
      <c r="O49" s="220">
        <f ca="1">+O11+O35</f>
        <v>0</v>
      </c>
      <c r="P49" s="206"/>
      <c r="Q49" s="206"/>
      <c r="R49" s="206"/>
      <c r="S49" s="181"/>
      <c r="T49" s="139"/>
    </row>
    <row r="50" spans="1:20" ht="18.75" x14ac:dyDescent="0.3">
      <c r="A50" s="107" t="s">
        <v>89</v>
      </c>
      <c r="B50" s="130">
        <f>B12+B35</f>
        <v>639991</v>
      </c>
      <c r="C50" s="105">
        <f>C12+C35</f>
        <v>687964</v>
      </c>
      <c r="D50" s="106">
        <f t="shared" si="15"/>
        <v>7.5</v>
      </c>
      <c r="E50" s="360">
        <f t="shared" si="16"/>
        <v>1.1993565047513111</v>
      </c>
      <c r="F50" s="105"/>
      <c r="G50" s="177">
        <f>G12+G35</f>
        <v>4233313</v>
      </c>
      <c r="H50" s="177">
        <f>H12+H35</f>
        <v>4871676</v>
      </c>
      <c r="I50" s="104">
        <f t="shared" si="17"/>
        <v>15.1</v>
      </c>
      <c r="J50" s="358">
        <f t="shared" si="18"/>
        <v>0.35190027686358483</v>
      </c>
      <c r="K50" s="139"/>
      <c r="L50" s="222">
        <f ca="1">L12+L35</f>
        <v>0</v>
      </c>
      <c r="M50" s="220">
        <f ca="1">M12+M35</f>
        <v>0</v>
      </c>
      <c r="N50" s="222" t="e">
        <f ca="1">N12+N35</f>
        <v>#REF!</v>
      </c>
      <c r="O50" s="220">
        <f ca="1">O12+O35</f>
        <v>0</v>
      </c>
      <c r="P50" s="209"/>
      <c r="Q50" s="209"/>
      <c r="R50" s="209"/>
      <c r="S50" s="181"/>
      <c r="T50" s="139"/>
    </row>
    <row r="51" spans="1:20" ht="18.75" x14ac:dyDescent="0.3">
      <c r="A51" s="107" t="s">
        <v>90</v>
      </c>
      <c r="B51" s="130">
        <f>B13</f>
        <v>5092</v>
      </c>
      <c r="C51" s="105">
        <f>C13</f>
        <v>1977</v>
      </c>
      <c r="D51" s="106">
        <f t="shared" si="15"/>
        <v>-61.2</v>
      </c>
      <c r="E51" s="360">
        <f t="shared" si="16"/>
        <v>3.4465870450973339E-3</v>
      </c>
      <c r="F51" s="105"/>
      <c r="G51" s="177">
        <f>G13</f>
        <v>0</v>
      </c>
      <c r="H51" s="177">
        <f>H13</f>
        <v>0</v>
      </c>
      <c r="I51" s="104" t="str">
        <f t="shared" si="17"/>
        <v xml:space="preserve">    ---- </v>
      </c>
      <c r="J51" s="358">
        <f t="shared" si="18"/>
        <v>0</v>
      </c>
      <c r="K51" s="139"/>
      <c r="L51" s="222">
        <f ca="1">L13</f>
        <v>0</v>
      </c>
      <c r="M51" s="220">
        <f ca="1">M13</f>
        <v>0</v>
      </c>
      <c r="N51" s="222" t="e">
        <f ca="1">N13</f>
        <v>#REF!</v>
      </c>
      <c r="O51" s="220">
        <f ca="1">O13</f>
        <v>0</v>
      </c>
      <c r="P51" s="209"/>
      <c r="Q51" s="209"/>
      <c r="R51" s="209"/>
      <c r="S51" s="181"/>
      <c r="T51" s="139"/>
    </row>
    <row r="52" spans="1:20" ht="18.75" x14ac:dyDescent="0.3">
      <c r="A52" s="86" t="s">
        <v>91</v>
      </c>
      <c r="B52" s="103">
        <f>B14</f>
        <v>1211719</v>
      </c>
      <c r="C52" s="103">
        <f>+C14</f>
        <v>1200340</v>
      </c>
      <c r="D52" s="104">
        <f t="shared" si="15"/>
        <v>-0.9</v>
      </c>
      <c r="E52" s="358">
        <f t="shared" si="16"/>
        <v>2.0926030823025461</v>
      </c>
      <c r="F52" s="103"/>
      <c r="G52" s="176">
        <f>+G14</f>
        <v>0</v>
      </c>
      <c r="H52" s="176">
        <f>+H14</f>
        <v>0</v>
      </c>
      <c r="I52" s="104" t="str">
        <f t="shared" si="17"/>
        <v xml:space="preserve">    ---- </v>
      </c>
      <c r="J52" s="358">
        <f t="shared" si="18"/>
        <v>0</v>
      </c>
      <c r="K52" s="139"/>
      <c r="L52" s="222">
        <f ca="1">L14</f>
        <v>0</v>
      </c>
      <c r="M52" s="220">
        <f ca="1">+M14</f>
        <v>0</v>
      </c>
      <c r="N52" s="222" t="e">
        <f ca="1">+N14</f>
        <v>#REF!</v>
      </c>
      <c r="O52" s="220">
        <f ca="1">+O14</f>
        <v>0</v>
      </c>
      <c r="P52" s="206"/>
      <c r="Q52" s="206"/>
      <c r="R52" s="206"/>
      <c r="S52" s="181"/>
      <c r="T52" s="139"/>
    </row>
    <row r="53" spans="1:20" ht="18.75" x14ac:dyDescent="0.3">
      <c r="A53" s="86" t="s">
        <v>92</v>
      </c>
      <c r="B53" s="103">
        <f>B15+B36</f>
        <v>1693399</v>
      </c>
      <c r="C53" s="103">
        <f>C15+C36</f>
        <v>1912300.7999999998</v>
      </c>
      <c r="D53" s="104">
        <f t="shared" si="15"/>
        <v>12.9</v>
      </c>
      <c r="E53" s="358">
        <f t="shared" si="16"/>
        <v>3.3337942152803577</v>
      </c>
      <c r="F53" s="103"/>
      <c r="G53" s="176">
        <f>G15+G36</f>
        <v>30244188</v>
      </c>
      <c r="H53" s="176">
        <f>H15+H36</f>
        <v>34167445.799999997</v>
      </c>
      <c r="I53" s="104">
        <f t="shared" si="17"/>
        <v>13</v>
      </c>
      <c r="J53" s="358">
        <f t="shared" si="18"/>
        <v>2.4680487037195262</v>
      </c>
      <c r="K53" s="139"/>
      <c r="L53" s="222">
        <f ca="1">L15+L36</f>
        <v>0</v>
      </c>
      <c r="M53" s="220">
        <f ca="1">M15+M36</f>
        <v>0</v>
      </c>
      <c r="N53" s="222" t="e">
        <f ca="1">N15+N36</f>
        <v>#REF!</v>
      </c>
      <c r="O53" s="220">
        <f ca="1">O15+O36</f>
        <v>0</v>
      </c>
      <c r="P53" s="206"/>
      <c r="Q53" s="206"/>
      <c r="R53" s="206"/>
      <c r="S53" s="181"/>
      <c r="T53" s="139"/>
    </row>
    <row r="54" spans="1:20" ht="18.75" x14ac:dyDescent="0.3">
      <c r="A54" s="86" t="s">
        <v>93</v>
      </c>
      <c r="B54" s="103">
        <f>B16</f>
        <v>19122</v>
      </c>
      <c r="C54" s="103">
        <f>+C16</f>
        <v>18102</v>
      </c>
      <c r="D54" s="104">
        <f t="shared" si="15"/>
        <v>-5.3</v>
      </c>
      <c r="E54" s="358">
        <f t="shared" si="16"/>
        <v>3.1557976069980745E-2</v>
      </c>
      <c r="F54" s="103"/>
      <c r="G54" s="176">
        <f>+G16</f>
        <v>22086</v>
      </c>
      <c r="H54" s="176">
        <f>+H16</f>
        <v>16959.64603199068</v>
      </c>
      <c r="I54" s="104">
        <f t="shared" si="17"/>
        <v>-23.2</v>
      </c>
      <c r="J54" s="358">
        <f t="shared" si="18"/>
        <v>1.2250617927312731E-3</v>
      </c>
      <c r="K54" s="139"/>
      <c r="L54" s="222">
        <f ca="1">L16</f>
        <v>0</v>
      </c>
      <c r="M54" s="220">
        <f t="shared" ref="M54:O55" ca="1" si="19">+M16</f>
        <v>0</v>
      </c>
      <c r="N54" s="222" t="e">
        <f t="shared" ca="1" si="19"/>
        <v>#REF!</v>
      </c>
      <c r="O54" s="220">
        <f t="shared" ca="1" si="19"/>
        <v>0</v>
      </c>
      <c r="P54" s="206"/>
      <c r="Q54" s="206"/>
      <c r="R54" s="206"/>
      <c r="S54" s="181"/>
      <c r="T54" s="139"/>
    </row>
    <row r="55" spans="1:20" ht="18.75" x14ac:dyDescent="0.3">
      <c r="A55" s="86" t="s">
        <v>94</v>
      </c>
      <c r="B55" s="103">
        <f>B17</f>
        <v>273642.10161000001</v>
      </c>
      <c r="C55" s="103">
        <f>+C17</f>
        <v>278836.821</v>
      </c>
      <c r="D55" s="104">
        <f t="shared" si="15"/>
        <v>1.9</v>
      </c>
      <c r="E55" s="358">
        <f t="shared" si="16"/>
        <v>0.4861079286569166</v>
      </c>
      <c r="F55" s="103"/>
      <c r="G55" s="176">
        <f>+G17</f>
        <v>0</v>
      </c>
      <c r="H55" s="176">
        <f>+H17</f>
        <v>0</v>
      </c>
      <c r="I55" s="104" t="str">
        <f t="shared" si="17"/>
        <v xml:space="preserve">    ---- </v>
      </c>
      <c r="J55" s="358">
        <f t="shared" si="18"/>
        <v>0</v>
      </c>
      <c r="K55" s="139"/>
      <c r="L55" s="222">
        <f ca="1">L17</f>
        <v>0</v>
      </c>
      <c r="M55" s="220">
        <f t="shared" ca="1" si="19"/>
        <v>0</v>
      </c>
      <c r="N55" s="222" t="e">
        <f t="shared" ca="1" si="19"/>
        <v>#REF!</v>
      </c>
      <c r="O55" s="220">
        <f t="shared" ca="1" si="19"/>
        <v>0</v>
      </c>
      <c r="P55" s="206"/>
      <c r="Q55" s="206"/>
      <c r="R55" s="206"/>
      <c r="S55" s="181"/>
      <c r="T55" s="139"/>
    </row>
    <row r="56" spans="1:20" ht="18.75" x14ac:dyDescent="0.3">
      <c r="A56" s="86" t="s">
        <v>63</v>
      </c>
      <c r="B56" s="105">
        <f>B18+B37</f>
        <v>21985183.815559998</v>
      </c>
      <c r="C56" s="105">
        <f>C18+C37</f>
        <v>21833443.79572</v>
      </c>
      <c r="D56" s="106">
        <f t="shared" si="15"/>
        <v>-0.7</v>
      </c>
      <c r="E56" s="360">
        <f t="shared" si="16"/>
        <v>38.063158591901519</v>
      </c>
      <c r="F56" s="105"/>
      <c r="G56" s="177">
        <f>G18+G37</f>
        <v>468019033.76277</v>
      </c>
      <c r="H56" s="177">
        <f>H18+H37</f>
        <v>494480079.00171</v>
      </c>
      <c r="I56" s="104">
        <f t="shared" si="17"/>
        <v>5.7</v>
      </c>
      <c r="J56" s="358">
        <f t="shared" si="18"/>
        <v>35.718236743213019</v>
      </c>
      <c r="K56" s="139"/>
      <c r="L56" s="222">
        <f ca="1">L18+L37</f>
        <v>0</v>
      </c>
      <c r="M56" s="220">
        <f ca="1">M18+M37</f>
        <v>0</v>
      </c>
      <c r="N56" s="222" t="e">
        <f ca="1">N18+N37</f>
        <v>#REF!</v>
      </c>
      <c r="O56" s="220">
        <f ca="1">O18+O37</f>
        <v>0</v>
      </c>
      <c r="P56" s="209"/>
      <c r="Q56" s="209"/>
      <c r="R56" s="209"/>
      <c r="S56" s="181"/>
      <c r="T56" s="139"/>
    </row>
    <row r="57" spans="1:20" ht="18.75" x14ac:dyDescent="0.3">
      <c r="A57" s="86" t="s">
        <v>95</v>
      </c>
      <c r="B57" s="103">
        <f>B19+B38</f>
        <v>257213</v>
      </c>
      <c r="C57" s="103">
        <f>+C19+C38</f>
        <v>315095</v>
      </c>
      <c r="D57" s="104">
        <f t="shared" si="15"/>
        <v>22.5</v>
      </c>
      <c r="E57" s="358">
        <f t="shared" si="16"/>
        <v>0.54931833332065982</v>
      </c>
      <c r="F57" s="103"/>
      <c r="G57" s="176">
        <f>G19+G38</f>
        <v>4751036</v>
      </c>
      <c r="H57" s="176">
        <f>H19+H38</f>
        <v>5973663</v>
      </c>
      <c r="I57" s="104">
        <f t="shared" si="17"/>
        <v>25.7</v>
      </c>
      <c r="J57" s="358">
        <f t="shared" si="18"/>
        <v>0.43150112273265967</v>
      </c>
      <c r="K57" s="139"/>
      <c r="L57" s="222">
        <f ca="1">L19+L38</f>
        <v>0</v>
      </c>
      <c r="M57" s="220">
        <f ca="1">+M19+M38</f>
        <v>0</v>
      </c>
      <c r="N57" s="222" t="e">
        <f ca="1">N19+N38</f>
        <v>#REF!</v>
      </c>
      <c r="O57" s="220">
        <f ca="1">O19+O38</f>
        <v>0</v>
      </c>
      <c r="P57" s="206"/>
      <c r="Q57" s="206"/>
      <c r="R57" s="206"/>
      <c r="S57" s="181"/>
      <c r="T57" s="139"/>
    </row>
    <row r="58" spans="1:20" ht="18.75" x14ac:dyDescent="0.3">
      <c r="A58" s="86" t="s">
        <v>96</v>
      </c>
      <c r="B58" s="103">
        <f t="shared" ref="B58:C60" si="20">B20</f>
        <v>119515</v>
      </c>
      <c r="C58" s="103">
        <f t="shared" si="20"/>
        <v>154391</v>
      </c>
      <c r="D58" s="104">
        <f t="shared" si="15"/>
        <v>29.2</v>
      </c>
      <c r="E58" s="358">
        <f t="shared" si="16"/>
        <v>0.26915630777927285</v>
      </c>
      <c r="F58" s="103"/>
      <c r="G58" s="176">
        <f t="shared" ref="G58:H60" si="21">G20</f>
        <v>14510</v>
      </c>
      <c r="H58" s="176">
        <f t="shared" si="21"/>
        <v>30106</v>
      </c>
      <c r="I58" s="104">
        <f t="shared" si="17"/>
        <v>107.5</v>
      </c>
      <c r="J58" s="358">
        <f t="shared" si="18"/>
        <v>2.1746745340320423E-3</v>
      </c>
      <c r="K58" s="139"/>
      <c r="L58" s="222">
        <f t="shared" ref="L58:O60" ca="1" si="22">L20</f>
        <v>0</v>
      </c>
      <c r="M58" s="220">
        <f t="shared" ca="1" si="22"/>
        <v>0</v>
      </c>
      <c r="N58" s="222" t="e">
        <f t="shared" ca="1" si="22"/>
        <v>#REF!</v>
      </c>
      <c r="O58" s="220">
        <f t="shared" ca="1" si="22"/>
        <v>0</v>
      </c>
      <c r="P58" s="206"/>
      <c r="Q58" s="206"/>
      <c r="R58" s="206"/>
      <c r="S58" s="181"/>
      <c r="T58" s="139"/>
    </row>
    <row r="59" spans="1:20" ht="18.75" x14ac:dyDescent="0.3">
      <c r="A59" s="86" t="s">
        <v>97</v>
      </c>
      <c r="B59" s="103">
        <f t="shared" si="20"/>
        <v>23683</v>
      </c>
      <c r="C59" s="103">
        <f t="shared" si="20"/>
        <v>26907</v>
      </c>
      <c r="D59" s="104">
        <f t="shared" si="15"/>
        <v>13.6</v>
      </c>
      <c r="E59" s="358">
        <f t="shared" si="16"/>
        <v>4.6908101984033362E-2</v>
      </c>
      <c r="F59" s="103"/>
      <c r="G59" s="176">
        <f t="shared" si="21"/>
        <v>0</v>
      </c>
      <c r="H59" s="176">
        <f t="shared" si="21"/>
        <v>0</v>
      </c>
      <c r="I59" s="104" t="str">
        <f t="shared" si="17"/>
        <v xml:space="preserve">    ---- </v>
      </c>
      <c r="J59" s="358">
        <f t="shared" si="18"/>
        <v>0</v>
      </c>
      <c r="K59" s="139"/>
      <c r="L59" s="222">
        <f t="shared" ca="1" si="22"/>
        <v>0</v>
      </c>
      <c r="M59" s="220">
        <f t="shared" ca="1" si="22"/>
        <v>0</v>
      </c>
      <c r="N59" s="222" t="e">
        <f t="shared" ca="1" si="22"/>
        <v>#REF!</v>
      </c>
      <c r="O59" s="220">
        <f t="shared" ca="1" si="22"/>
        <v>0</v>
      </c>
      <c r="P59" s="206"/>
      <c r="Q59" s="206"/>
      <c r="R59" s="206"/>
      <c r="S59" s="181"/>
      <c r="T59" s="139"/>
    </row>
    <row r="60" spans="1:20" ht="18.75" x14ac:dyDescent="0.3">
      <c r="A60" s="86" t="s">
        <v>98</v>
      </c>
      <c r="B60" s="103">
        <f t="shared" si="20"/>
        <v>1012</v>
      </c>
      <c r="C60" s="103">
        <f t="shared" si="20"/>
        <v>9667.0010000000002</v>
      </c>
      <c r="D60" s="104">
        <f t="shared" si="15"/>
        <v>855.2</v>
      </c>
      <c r="E60" s="358">
        <f t="shared" si="16"/>
        <v>1.6852888422631752E-2</v>
      </c>
      <c r="F60" s="103"/>
      <c r="G60" s="176">
        <f t="shared" si="21"/>
        <v>0</v>
      </c>
      <c r="H60" s="176">
        <f t="shared" si="21"/>
        <v>2349.1471643053901</v>
      </c>
      <c r="I60" s="104" t="str">
        <f t="shared" si="17"/>
        <v xml:space="preserve">    ---- </v>
      </c>
      <c r="J60" s="358">
        <f t="shared" si="18"/>
        <v>1.6968811914264657E-4</v>
      </c>
      <c r="K60" s="139"/>
      <c r="L60" s="222">
        <f t="shared" ca="1" si="22"/>
        <v>0</v>
      </c>
      <c r="M60" s="220">
        <f t="shared" ca="1" si="22"/>
        <v>0</v>
      </c>
      <c r="N60" s="222" t="e">
        <f t="shared" ca="1" si="22"/>
        <v>#REF!</v>
      </c>
      <c r="O60" s="220">
        <f t="shared" ca="1" si="22"/>
        <v>0</v>
      </c>
      <c r="P60" s="206"/>
      <c r="Q60" s="206"/>
      <c r="R60" s="206"/>
      <c r="S60" s="181"/>
      <c r="T60" s="139"/>
    </row>
    <row r="61" spans="1:20" ht="18.75" x14ac:dyDescent="0.3">
      <c r="A61" s="107" t="s">
        <v>68</v>
      </c>
      <c r="B61" s="103">
        <f>B23+B39</f>
        <v>5197615.8625065219</v>
      </c>
      <c r="C61" s="103">
        <f>+C23+C39</f>
        <v>6766172.0381240938</v>
      </c>
      <c r="D61" s="104">
        <f t="shared" si="15"/>
        <v>30.2</v>
      </c>
      <c r="E61" s="358">
        <f t="shared" si="16"/>
        <v>11.795751589022926</v>
      </c>
      <c r="F61" s="103"/>
      <c r="G61" s="176">
        <f>+G23+G39</f>
        <v>110607379.99998957</v>
      </c>
      <c r="H61" s="176">
        <f>+H23+H39</f>
        <v>119371791.99988984</v>
      </c>
      <c r="I61" s="104">
        <f t="shared" si="17"/>
        <v>7.9</v>
      </c>
      <c r="J61" s="358">
        <f t="shared" si="18"/>
        <v>8.6226930227838405</v>
      </c>
      <c r="K61" s="139"/>
      <c r="L61" s="222">
        <f ca="1">L23+L39</f>
        <v>0</v>
      </c>
      <c r="M61" s="220">
        <f ca="1">+M23+M39</f>
        <v>0</v>
      </c>
      <c r="N61" s="222" t="e">
        <f ca="1">+N23+N39</f>
        <v>#REF!</v>
      </c>
      <c r="O61" s="220">
        <f ca="1">+O23+O39</f>
        <v>0</v>
      </c>
      <c r="P61" s="206"/>
      <c r="Q61" s="206"/>
      <c r="R61" s="206"/>
      <c r="S61" s="181"/>
      <c r="T61" s="139"/>
    </row>
    <row r="62" spans="1:20" ht="18.75" customHeight="1" x14ac:dyDescent="0.3">
      <c r="A62" s="107" t="s">
        <v>100</v>
      </c>
      <c r="B62" s="103">
        <f>B24</f>
        <v>1444566</v>
      </c>
      <c r="C62" s="103">
        <f>C24</f>
        <v>1806904</v>
      </c>
      <c r="D62" s="104">
        <f t="shared" si="15"/>
        <v>25.1</v>
      </c>
      <c r="E62" s="358">
        <f t="shared" si="16"/>
        <v>3.1500515519142906</v>
      </c>
      <c r="F62" s="103"/>
      <c r="G62" s="176">
        <f>G24</f>
        <v>72102299</v>
      </c>
      <c r="H62" s="176">
        <f>H24</f>
        <v>75627238.392739996</v>
      </c>
      <c r="I62" s="104">
        <f t="shared" si="17"/>
        <v>4.9000000000000004</v>
      </c>
      <c r="J62" s="358">
        <f t="shared" si="18"/>
        <v>5.4628522358288061</v>
      </c>
      <c r="K62" s="139"/>
      <c r="L62" s="222">
        <f ca="1">L24</f>
        <v>0</v>
      </c>
      <c r="M62" s="220">
        <f ca="1">M24</f>
        <v>0</v>
      </c>
      <c r="N62" s="222" t="e">
        <f ca="1">N24</f>
        <v>#REF!</v>
      </c>
      <c r="O62" s="220">
        <f ca="1">O24</f>
        <v>0</v>
      </c>
      <c r="P62" s="206"/>
      <c r="Q62" s="206"/>
      <c r="R62" s="206"/>
      <c r="S62" s="181"/>
      <c r="T62" s="139"/>
    </row>
    <row r="63" spans="1:20" ht="18.75" customHeight="1" x14ac:dyDescent="0.3">
      <c r="A63" s="107" t="s">
        <v>370</v>
      </c>
      <c r="B63" s="103">
        <f>B25</f>
        <v>251893.27284613601</v>
      </c>
      <c r="C63" s="103">
        <f>C25</f>
        <v>254608.63609938539</v>
      </c>
      <c r="D63" s="104">
        <f t="shared" ref="D63" si="23">IF(B63=0, "    ---- ", IF(ABS(ROUND(100/B63*C63-100,1))&lt;999,ROUND(100/B63*C63-100,1),IF(ROUND(100/B63*C63-100,1)&gt;999,999,-999)))</f>
        <v>1.1000000000000001</v>
      </c>
      <c r="E63" s="358">
        <f t="shared" si="16"/>
        <v>0.44386991742541376</v>
      </c>
      <c r="F63" s="103"/>
      <c r="G63" s="176">
        <f>G25</f>
        <v>0</v>
      </c>
      <c r="H63" s="176">
        <f>H25</f>
        <v>0</v>
      </c>
      <c r="I63" s="104" t="str">
        <f t="shared" ref="I63" si="24">IF(G63=0, "    ---- ", IF(ABS(ROUND(100/G63*H63-100,1))&lt;999,ROUND(100/G63*H63-100,1),IF(ROUND(100/G63*H63-100,1)&gt;999,999,-999)))</f>
        <v xml:space="preserve">    ---- </v>
      </c>
      <c r="J63" s="358">
        <f t="shared" si="18"/>
        <v>0</v>
      </c>
      <c r="K63" s="139"/>
      <c r="L63" s="222"/>
      <c r="M63" s="220"/>
      <c r="N63" s="222"/>
      <c r="O63" s="220"/>
      <c r="P63" s="206"/>
      <c r="Q63" s="206"/>
      <c r="R63" s="206"/>
      <c r="S63" s="181"/>
      <c r="T63" s="139"/>
    </row>
    <row r="64" spans="1:20" ht="18.75" customHeight="1" x14ac:dyDescent="0.3">
      <c r="A64" s="107" t="s">
        <v>74</v>
      </c>
      <c r="B64" s="103">
        <f>B40</f>
        <v>73667</v>
      </c>
      <c r="C64" s="103">
        <f>C40</f>
        <v>69806.938299999994</v>
      </c>
      <c r="D64" s="104">
        <f t="shared" si="15"/>
        <v>-5.2</v>
      </c>
      <c r="E64" s="358">
        <f t="shared" si="16"/>
        <v>0.12169736429068734</v>
      </c>
      <c r="F64" s="103"/>
      <c r="G64" s="176">
        <f>G40</f>
        <v>2163599</v>
      </c>
      <c r="H64" s="176">
        <f>H40</f>
        <v>2307693.03969</v>
      </c>
      <c r="I64" s="104">
        <f t="shared" si="17"/>
        <v>6.7</v>
      </c>
      <c r="J64" s="358">
        <f t="shared" si="18"/>
        <v>0.16669372503078583</v>
      </c>
      <c r="K64" s="139"/>
      <c r="L64" s="222">
        <f ca="1">L40</f>
        <v>0</v>
      </c>
      <c r="M64" s="220">
        <f ca="1">M40</f>
        <v>0</v>
      </c>
      <c r="N64" s="222">
        <f ca="1">N40</f>
        <v>0</v>
      </c>
      <c r="O64" s="220">
        <f ca="1">O40</f>
        <v>0</v>
      </c>
      <c r="P64" s="206"/>
      <c r="Q64" s="206"/>
      <c r="R64" s="206"/>
      <c r="S64" s="181"/>
      <c r="T64" s="139"/>
    </row>
    <row r="65" spans="1:240" ht="18.75" customHeight="1" x14ac:dyDescent="0.3">
      <c r="A65" s="86" t="s">
        <v>70</v>
      </c>
      <c r="B65" s="103">
        <f>B26+B41</f>
        <v>3318972.4407199998</v>
      </c>
      <c r="C65" s="103">
        <f>+C26+C41</f>
        <v>3715510.7299700002</v>
      </c>
      <c r="D65" s="104">
        <f t="shared" si="15"/>
        <v>11.9</v>
      </c>
      <c r="E65" s="358">
        <f t="shared" si="16"/>
        <v>6.4774057399265255</v>
      </c>
      <c r="F65" s="103"/>
      <c r="G65" s="176">
        <f>+G26+G41</f>
        <v>47114354.401469998</v>
      </c>
      <c r="H65" s="176">
        <f>+H26+H41</f>
        <v>52884353.236220002</v>
      </c>
      <c r="I65" s="104">
        <f t="shared" si="17"/>
        <v>12.2</v>
      </c>
      <c r="J65" s="358">
        <f t="shared" si="18"/>
        <v>3.8200443842278173</v>
      </c>
      <c r="K65" s="139"/>
      <c r="L65" s="222">
        <f ca="1">L26+L41</f>
        <v>0</v>
      </c>
      <c r="M65" s="220">
        <f t="shared" ref="M65:O66" ca="1" si="25">+M26+M41</f>
        <v>0</v>
      </c>
      <c r="N65" s="222" t="e">
        <f t="shared" ca="1" si="25"/>
        <v>#REF!</v>
      </c>
      <c r="O65" s="220">
        <f t="shared" ca="1" si="25"/>
        <v>0</v>
      </c>
      <c r="P65" s="206"/>
      <c r="Q65" s="206"/>
      <c r="R65" s="206"/>
      <c r="S65" s="181"/>
      <c r="T65" s="139"/>
    </row>
    <row r="66" spans="1:240" ht="18.75" customHeight="1" x14ac:dyDescent="0.3">
      <c r="A66" s="86" t="s">
        <v>101</v>
      </c>
      <c r="B66" s="103">
        <f>B42+B27</f>
        <v>8822103.1699999999</v>
      </c>
      <c r="C66" s="103">
        <f>+C27+C42</f>
        <v>8872415.152999999</v>
      </c>
      <c r="D66" s="104">
        <f t="shared" si="15"/>
        <v>0.6</v>
      </c>
      <c r="E66" s="358">
        <f t="shared" si="16"/>
        <v>15.467653578682384</v>
      </c>
      <c r="F66" s="103"/>
      <c r="G66" s="176">
        <f>+G27+G42</f>
        <v>275357682.20300001</v>
      </c>
      <c r="H66" s="176">
        <f>+H27+H42</f>
        <v>285111522.17300004</v>
      </c>
      <c r="I66" s="104">
        <f t="shared" si="17"/>
        <v>3.5</v>
      </c>
      <c r="J66" s="358">
        <f t="shared" si="18"/>
        <v>20.594724195467187</v>
      </c>
      <c r="K66" s="139"/>
      <c r="L66" s="222">
        <f ca="1">L42+L27</f>
        <v>0</v>
      </c>
      <c r="M66" s="220">
        <f t="shared" ca="1" si="25"/>
        <v>0</v>
      </c>
      <c r="N66" s="222" t="e">
        <f t="shared" ca="1" si="25"/>
        <v>#REF!</v>
      </c>
      <c r="O66" s="220">
        <f t="shared" ca="1" si="25"/>
        <v>0</v>
      </c>
      <c r="P66" s="206"/>
      <c r="Q66" s="206"/>
      <c r="R66" s="206"/>
      <c r="S66" s="181"/>
      <c r="T66" s="139"/>
    </row>
    <row r="67" spans="1:240" ht="18.75" customHeight="1" x14ac:dyDescent="0.3">
      <c r="A67" s="86" t="s">
        <v>102</v>
      </c>
      <c r="B67" s="103">
        <f>B28</f>
        <v>20446</v>
      </c>
      <c r="C67" s="103">
        <f>+C28</f>
        <v>0</v>
      </c>
      <c r="D67" s="104">
        <f t="shared" si="15"/>
        <v>-100</v>
      </c>
      <c r="E67" s="358">
        <f t="shared" si="16"/>
        <v>0</v>
      </c>
      <c r="F67" s="103"/>
      <c r="G67" s="176">
        <f>+G28</f>
        <v>0</v>
      </c>
      <c r="H67" s="176">
        <f>+H28</f>
        <v>0</v>
      </c>
      <c r="I67" s="104" t="str">
        <f t="shared" si="17"/>
        <v xml:space="preserve">    ---- </v>
      </c>
      <c r="J67" s="358">
        <f t="shared" si="18"/>
        <v>0</v>
      </c>
      <c r="K67" s="139"/>
      <c r="L67" s="222">
        <f ca="1">L28</f>
        <v>0</v>
      </c>
      <c r="M67" s="220">
        <f t="shared" ref="M67:O68" ca="1" si="26">+M28</f>
        <v>0</v>
      </c>
      <c r="N67" s="222" t="e">
        <f t="shared" ca="1" si="26"/>
        <v>#REF!</v>
      </c>
      <c r="O67" s="220">
        <f t="shared" ca="1" si="26"/>
        <v>0</v>
      </c>
      <c r="P67" s="206"/>
      <c r="Q67" s="206"/>
      <c r="R67" s="206"/>
      <c r="S67" s="181"/>
      <c r="T67" s="139"/>
    </row>
    <row r="68" spans="1:240" ht="18.75" customHeight="1" x14ac:dyDescent="0.3">
      <c r="A68" s="86" t="s">
        <v>103</v>
      </c>
      <c r="B68" s="103">
        <f>B29</f>
        <v>458835</v>
      </c>
      <c r="C68" s="103">
        <f>+C29</f>
        <v>543064</v>
      </c>
      <c r="D68" s="104">
        <f t="shared" si="15"/>
        <v>18.399999999999999</v>
      </c>
      <c r="E68" s="358">
        <f t="shared" si="16"/>
        <v>0.94674625546724256</v>
      </c>
      <c r="F68" s="103"/>
      <c r="G68" s="176">
        <f>+G29</f>
        <v>0</v>
      </c>
      <c r="H68" s="176">
        <f>+H29</f>
        <v>0</v>
      </c>
      <c r="I68" s="104" t="str">
        <f t="shared" si="17"/>
        <v xml:space="preserve">    ---- </v>
      </c>
      <c r="J68" s="358">
        <f t="shared" si="18"/>
        <v>0</v>
      </c>
      <c r="K68" s="139"/>
      <c r="L68" s="222">
        <f ca="1">L29</f>
        <v>0</v>
      </c>
      <c r="M68" s="220">
        <f t="shared" ca="1" si="26"/>
        <v>0</v>
      </c>
      <c r="N68" s="222" t="e">
        <f t="shared" ca="1" si="26"/>
        <v>#REF!</v>
      </c>
      <c r="O68" s="220">
        <f t="shared" ca="1" si="26"/>
        <v>0</v>
      </c>
      <c r="P68" s="206"/>
      <c r="Q68" s="206"/>
      <c r="R68" s="206"/>
      <c r="S68" s="181"/>
      <c r="T68" s="139"/>
    </row>
    <row r="69" spans="1:240" s="111" customFormat="1" ht="18.75" customHeight="1" x14ac:dyDescent="0.3">
      <c r="A69" s="113" t="s">
        <v>2</v>
      </c>
      <c r="B69" s="114">
        <f>SUM(B47:B68)</f>
        <v>54011333.448242657</v>
      </c>
      <c r="C69" s="114">
        <f>SUM(C47:C68)</f>
        <v>57361092.992333472</v>
      </c>
      <c r="D69" s="115">
        <f>IF(B69=0, "    ---- ", IF(ABS(ROUND(100/B69*C69-100,1))&lt;999,ROUND(100/B69*C69-100,1),IF(ROUND(100/B69*C69-100,1)&gt;999,999,-999)))</f>
        <v>6.2</v>
      </c>
      <c r="E69" s="361">
        <f>SUM(E47:E68)</f>
        <v>100</v>
      </c>
      <c r="F69" s="109"/>
      <c r="G69" s="180">
        <f>SUM(G47:G68)</f>
        <v>1313230823.0802295</v>
      </c>
      <c r="H69" s="180">
        <f>SUM(H47:H68)</f>
        <v>1384391067.6684463</v>
      </c>
      <c r="I69" s="115">
        <f>IF(G69=0, "    ---- ", IF(ABS(ROUND(100/G69*H69-100,1))&lt;999,ROUND(100/G69*H69-100,1),IF(ROUND(100/G69*H69-100,1)&gt;999,999,-999)))</f>
        <v>5.4</v>
      </c>
      <c r="J69" s="361">
        <f>SUM(J47:J68)</f>
        <v>99.999999999999972</v>
      </c>
      <c r="K69" s="179"/>
      <c r="L69" s="227">
        <f ca="1">SUM(L47:L68)</f>
        <v>0</v>
      </c>
      <c r="M69" s="228">
        <f ca="1">SUM(M47:M68)</f>
        <v>0</v>
      </c>
      <c r="N69" s="227" t="e">
        <f ca="1">SUM(N47:N68)</f>
        <v>#REF!</v>
      </c>
      <c r="O69" s="228">
        <f ca="1">SUM(O47:O68)</f>
        <v>0</v>
      </c>
      <c r="P69" s="208"/>
      <c r="Q69" s="208"/>
      <c r="R69" s="208"/>
      <c r="S69" s="138"/>
      <c r="T69" s="179"/>
    </row>
    <row r="70" spans="1:240" ht="18.75" customHeight="1" x14ac:dyDescent="0.3">
      <c r="A70" s="112" t="s">
        <v>107</v>
      </c>
      <c r="B70" s="112"/>
      <c r="C70" s="112"/>
      <c r="D70" s="112"/>
      <c r="E70" s="112"/>
      <c r="F70" s="112"/>
      <c r="G70" s="112"/>
      <c r="H70" s="112"/>
      <c r="I70" s="112"/>
      <c r="J70" s="112"/>
      <c r="K70" s="112"/>
      <c r="L70" s="185"/>
      <c r="M70" s="185"/>
      <c r="N70" s="185"/>
      <c r="O70" s="185"/>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c r="CG70" s="112"/>
      <c r="CH70" s="112"/>
      <c r="CI70" s="112"/>
      <c r="CJ70" s="112"/>
      <c r="CK70" s="112"/>
      <c r="CL70" s="112"/>
      <c r="CM70" s="112"/>
      <c r="CN70" s="112"/>
      <c r="CO70" s="112"/>
      <c r="CP70" s="112"/>
      <c r="CQ70" s="112"/>
      <c r="CR70" s="112"/>
      <c r="CS70" s="112"/>
      <c r="CT70" s="112"/>
      <c r="CU70" s="112"/>
      <c r="CV70" s="112"/>
      <c r="CW70" s="112"/>
      <c r="CX70" s="112"/>
      <c r="CY70" s="112"/>
      <c r="CZ70" s="112"/>
      <c r="DA70" s="112"/>
      <c r="DB70" s="112"/>
      <c r="DC70" s="112"/>
      <c r="DD70" s="112"/>
      <c r="DE70" s="112"/>
      <c r="DF70" s="112"/>
      <c r="DG70" s="112"/>
      <c r="DH70" s="112"/>
      <c r="DI70" s="112"/>
      <c r="DJ70" s="112"/>
      <c r="DK70" s="112"/>
      <c r="DL70" s="112"/>
      <c r="DM70" s="112"/>
      <c r="DN70" s="112"/>
      <c r="DO70" s="112"/>
      <c r="DP70" s="112"/>
      <c r="DQ70" s="112"/>
      <c r="DR70" s="112"/>
      <c r="DS70" s="112"/>
      <c r="DT70" s="112"/>
      <c r="DU70" s="112"/>
      <c r="DV70" s="112"/>
      <c r="DW70" s="112"/>
      <c r="DX70" s="112"/>
      <c r="DY70" s="112"/>
      <c r="DZ70" s="112"/>
      <c r="EA70" s="112"/>
      <c r="EB70" s="112"/>
      <c r="EC70" s="112"/>
      <c r="ED70" s="112"/>
      <c r="EE70" s="112"/>
      <c r="EF70" s="112"/>
      <c r="EG70" s="112"/>
      <c r="EH70" s="112"/>
      <c r="EI70" s="112"/>
      <c r="EJ70" s="112"/>
      <c r="EK70" s="112"/>
      <c r="EL70" s="112"/>
      <c r="EM70" s="112"/>
      <c r="EN70" s="112"/>
      <c r="EO70" s="112"/>
      <c r="EP70" s="112"/>
      <c r="EQ70" s="112"/>
      <c r="ER70" s="112"/>
      <c r="ES70" s="112"/>
      <c r="ET70" s="112"/>
      <c r="EU70" s="112"/>
      <c r="EV70" s="112"/>
      <c r="EW70" s="112"/>
      <c r="EX70" s="112"/>
      <c r="EY70" s="112"/>
      <c r="EZ70" s="112"/>
      <c r="FA70" s="112"/>
      <c r="FB70" s="112"/>
      <c r="FC70" s="112"/>
      <c r="FD70" s="112"/>
      <c r="FE70" s="112"/>
      <c r="FF70" s="112"/>
      <c r="FG70" s="112"/>
      <c r="FH70" s="112"/>
      <c r="FI70" s="112"/>
      <c r="FJ70" s="112"/>
      <c r="FK70" s="112"/>
      <c r="FL70" s="112"/>
      <c r="FM70" s="112"/>
      <c r="FN70" s="112"/>
      <c r="FO70" s="112"/>
      <c r="FP70" s="112"/>
      <c r="FQ70" s="112"/>
      <c r="FR70" s="112"/>
      <c r="FS70" s="112"/>
      <c r="FT70" s="112"/>
      <c r="FU70" s="112"/>
      <c r="FV70" s="112"/>
      <c r="FW70" s="112"/>
      <c r="FX70" s="112"/>
      <c r="FY70" s="112"/>
      <c r="FZ70" s="112"/>
      <c r="GA70" s="112"/>
      <c r="GB70" s="112"/>
      <c r="GC70" s="112"/>
      <c r="GD70" s="112"/>
      <c r="GE70" s="112"/>
      <c r="GF70" s="112"/>
      <c r="GG70" s="112"/>
      <c r="GH70" s="112"/>
      <c r="GI70" s="112"/>
      <c r="GJ70" s="112"/>
      <c r="GK70" s="112"/>
      <c r="GL70" s="112"/>
      <c r="GM70" s="112"/>
      <c r="GN70" s="112"/>
      <c r="GO70" s="112"/>
      <c r="GP70" s="112"/>
      <c r="GQ70" s="112"/>
      <c r="GR70" s="112"/>
      <c r="GS70" s="112"/>
      <c r="GT70" s="112"/>
      <c r="GU70" s="112"/>
      <c r="GV70" s="112"/>
      <c r="GW70" s="112"/>
      <c r="GX70" s="112"/>
      <c r="GY70" s="112"/>
      <c r="GZ70" s="112"/>
      <c r="HA70" s="112"/>
      <c r="HB70" s="112"/>
      <c r="HC70" s="112"/>
      <c r="HD70" s="112"/>
      <c r="HE70" s="112"/>
      <c r="HF70" s="112"/>
      <c r="HG70" s="112"/>
      <c r="HH70" s="112"/>
      <c r="HI70" s="112"/>
      <c r="HJ70" s="112"/>
      <c r="HK70" s="112"/>
      <c r="HL70" s="112"/>
      <c r="HM70" s="112"/>
      <c r="HN70" s="112"/>
      <c r="HO70" s="112"/>
      <c r="HP70" s="112"/>
      <c r="HQ70" s="112"/>
      <c r="HR70" s="112"/>
      <c r="HS70" s="112"/>
      <c r="HT70" s="112"/>
      <c r="HU70" s="112"/>
      <c r="HV70" s="112"/>
      <c r="HW70" s="112"/>
      <c r="HX70" s="112"/>
      <c r="HY70" s="112"/>
      <c r="HZ70" s="112"/>
      <c r="IA70" s="112"/>
      <c r="IB70" s="112"/>
      <c r="IC70" s="112"/>
      <c r="ID70" s="112"/>
      <c r="IE70" s="112"/>
      <c r="IF70" s="112"/>
    </row>
    <row r="71" spans="1:240" ht="18.75" customHeight="1" x14ac:dyDescent="0.3">
      <c r="A71" s="74"/>
      <c r="B71" s="74"/>
      <c r="C71" s="74"/>
      <c r="D71" s="74"/>
      <c r="E71" s="74"/>
      <c r="F71" s="74"/>
      <c r="G71" s="74"/>
      <c r="H71" s="74"/>
      <c r="I71" s="74"/>
      <c r="J71" s="74"/>
      <c r="K71" s="74"/>
    </row>
    <row r="72" spans="1:240" ht="18.75" customHeight="1" x14ac:dyDescent="0.3">
      <c r="A72" s="74"/>
      <c r="B72" s="74"/>
      <c r="C72" s="74"/>
      <c r="D72" s="74"/>
      <c r="E72" s="74"/>
      <c r="F72" s="74"/>
      <c r="G72" s="74"/>
      <c r="H72" s="74"/>
      <c r="I72" s="74"/>
      <c r="J72" s="74"/>
      <c r="K72" s="74"/>
    </row>
    <row r="73" spans="1:240" ht="18.75" customHeight="1" x14ac:dyDescent="0.3">
      <c r="A73" s="74"/>
      <c r="B73" s="77"/>
      <c r="C73" s="77"/>
      <c r="D73" s="74"/>
      <c r="E73" s="74"/>
      <c r="F73" s="74"/>
      <c r="G73" s="77"/>
      <c r="H73" s="77"/>
      <c r="I73" s="74"/>
      <c r="J73" s="74"/>
      <c r="K73" s="74"/>
    </row>
    <row r="74" spans="1:240" ht="18.75" customHeight="1" x14ac:dyDescent="0.3">
      <c r="A74" s="74"/>
      <c r="B74" s="74"/>
      <c r="C74" s="74"/>
      <c r="D74" s="74"/>
      <c r="E74" s="74"/>
      <c r="F74" s="74"/>
      <c r="G74" s="74"/>
      <c r="H74" s="74"/>
      <c r="I74" s="74"/>
      <c r="J74" s="74"/>
      <c r="K74" s="74"/>
    </row>
    <row r="75" spans="1:240" ht="18.75" customHeight="1" x14ac:dyDescent="0.3">
      <c r="A75" s="74"/>
      <c r="B75" s="74"/>
      <c r="C75" s="74"/>
      <c r="D75" s="74"/>
      <c r="E75" s="74"/>
      <c r="F75" s="74"/>
      <c r="G75" s="74"/>
      <c r="H75" s="74"/>
      <c r="I75" s="74"/>
      <c r="J75" s="74"/>
      <c r="K75" s="74"/>
    </row>
    <row r="76" spans="1:240" ht="18.75" customHeight="1" x14ac:dyDescent="0.3">
      <c r="A76" s="74"/>
      <c r="B76" s="74"/>
      <c r="C76" s="74"/>
      <c r="D76" s="74"/>
      <c r="E76" s="74"/>
      <c r="F76" s="74"/>
      <c r="G76" s="74"/>
      <c r="H76" s="74"/>
      <c r="I76" s="74"/>
      <c r="J76" s="74"/>
      <c r="K76" s="74"/>
    </row>
    <row r="77" spans="1:240" ht="18.75" customHeight="1" x14ac:dyDescent="0.3">
      <c r="A77" s="74"/>
      <c r="B77" s="74"/>
      <c r="C77" s="74"/>
      <c r="D77" s="74"/>
      <c r="E77" s="74"/>
      <c r="F77" s="74"/>
      <c r="G77" s="74"/>
      <c r="H77" s="74"/>
      <c r="I77" s="74"/>
      <c r="J77" s="74"/>
      <c r="K77" s="74"/>
    </row>
    <row r="78" spans="1:240" ht="18.75" x14ac:dyDescent="0.3">
      <c r="A78" s="74"/>
      <c r="B78" s="74"/>
      <c r="C78" s="74"/>
      <c r="D78" s="74"/>
      <c r="E78" s="74"/>
      <c r="F78" s="74"/>
      <c r="G78" s="74"/>
      <c r="H78" s="74"/>
      <c r="I78" s="74"/>
      <c r="J78" s="74"/>
      <c r="K78" s="74"/>
    </row>
    <row r="79" spans="1:240" ht="18.75" x14ac:dyDescent="0.3">
      <c r="A79" s="74"/>
      <c r="B79" s="74"/>
      <c r="C79" s="74"/>
      <c r="D79" s="74"/>
      <c r="E79" s="74"/>
      <c r="F79" s="74"/>
      <c r="G79" s="74"/>
      <c r="H79" s="74"/>
      <c r="I79" s="74"/>
      <c r="J79" s="74"/>
      <c r="K79" s="74"/>
    </row>
    <row r="80" spans="1:240" ht="18.75" x14ac:dyDescent="0.3">
      <c r="A80" s="74"/>
      <c r="B80" s="74"/>
      <c r="C80" s="74"/>
      <c r="D80" s="74"/>
      <c r="E80" s="74"/>
      <c r="F80" s="74"/>
      <c r="G80" s="74"/>
      <c r="H80" s="74"/>
      <c r="I80" s="74"/>
      <c r="J80" s="74"/>
      <c r="K80" s="74"/>
    </row>
    <row r="81" spans="1:11" ht="18.75" x14ac:dyDescent="0.3">
      <c r="A81" s="74"/>
      <c r="B81" s="74"/>
      <c r="C81" s="74"/>
      <c r="D81" s="74"/>
      <c r="E81" s="74"/>
      <c r="F81" s="74"/>
      <c r="G81" s="74"/>
      <c r="H81" s="74"/>
      <c r="I81" s="74"/>
      <c r="J81" s="74"/>
      <c r="K81" s="74"/>
    </row>
    <row r="82" spans="1:11" ht="18.75" x14ac:dyDescent="0.3">
      <c r="A82" s="74"/>
      <c r="B82" s="74"/>
      <c r="C82" s="74"/>
      <c r="D82" s="74"/>
      <c r="E82" s="74"/>
      <c r="F82" s="74"/>
      <c r="G82" s="74"/>
      <c r="H82" s="74"/>
      <c r="I82" s="74"/>
      <c r="J82" s="74"/>
      <c r="K82" s="74"/>
    </row>
    <row r="83" spans="1:11" ht="18.75" x14ac:dyDescent="0.3">
      <c r="A83" s="74"/>
      <c r="B83" s="74"/>
      <c r="C83" s="74"/>
      <c r="D83" s="74"/>
      <c r="E83" s="74"/>
      <c r="F83" s="74"/>
      <c r="G83" s="74"/>
      <c r="H83" s="74"/>
      <c r="I83" s="74"/>
      <c r="J83" s="74"/>
      <c r="K83" s="74"/>
    </row>
    <row r="84" spans="1:11" ht="18.75" x14ac:dyDescent="0.3">
      <c r="A84" s="74"/>
      <c r="B84" s="74"/>
      <c r="C84" s="74"/>
      <c r="D84" s="74"/>
      <c r="E84" s="74"/>
      <c r="F84" s="74"/>
      <c r="G84" s="74"/>
      <c r="H84" s="74"/>
      <c r="I84" s="74"/>
      <c r="J84" s="74"/>
      <c r="K84" s="74"/>
    </row>
    <row r="85" spans="1:11" ht="18.75" x14ac:dyDescent="0.3">
      <c r="A85" s="74"/>
      <c r="B85" s="74"/>
      <c r="C85" s="74"/>
      <c r="D85" s="74"/>
      <c r="E85" s="74"/>
      <c r="F85" s="74"/>
      <c r="G85" s="74"/>
      <c r="H85" s="74"/>
      <c r="I85" s="74"/>
      <c r="J85" s="74"/>
      <c r="K85" s="74"/>
    </row>
    <row r="86" spans="1:11" ht="18.75" x14ac:dyDescent="0.3">
      <c r="A86" s="74"/>
      <c r="B86" s="74"/>
      <c r="C86" s="74"/>
      <c r="D86" s="74"/>
      <c r="E86" s="74"/>
      <c r="F86" s="74"/>
      <c r="G86" s="74"/>
      <c r="H86" s="74"/>
      <c r="I86" s="74"/>
      <c r="J86" s="74"/>
      <c r="K86" s="74"/>
    </row>
    <row r="87" spans="1:11" ht="18.75" x14ac:dyDescent="0.3">
      <c r="A87" s="74"/>
      <c r="B87" s="74"/>
      <c r="C87" s="74"/>
      <c r="D87" s="74"/>
      <c r="E87" s="74"/>
      <c r="F87" s="74"/>
      <c r="G87" s="74"/>
      <c r="H87" s="74"/>
      <c r="I87" s="74"/>
      <c r="J87" s="74"/>
      <c r="K87" s="74"/>
    </row>
    <row r="88" spans="1:11" ht="18.75" x14ac:dyDescent="0.3">
      <c r="A88" s="74"/>
      <c r="B88" s="74"/>
      <c r="C88" s="74"/>
      <c r="D88" s="74"/>
      <c r="E88" s="74"/>
      <c r="F88" s="74"/>
      <c r="G88" s="74"/>
      <c r="H88" s="74"/>
      <c r="I88" s="74"/>
      <c r="J88" s="74"/>
      <c r="K88" s="74"/>
    </row>
    <row r="89" spans="1:11" ht="18.75" x14ac:dyDescent="0.3">
      <c r="A89" s="74"/>
      <c r="B89" s="74"/>
      <c r="C89" s="74"/>
      <c r="D89" s="74"/>
      <c r="E89" s="74"/>
      <c r="F89" s="74"/>
      <c r="G89" s="74"/>
      <c r="H89" s="74"/>
      <c r="I89" s="74"/>
      <c r="J89" s="74"/>
      <c r="K89" s="74"/>
    </row>
    <row r="90" spans="1:11" ht="18.75" x14ac:dyDescent="0.3">
      <c r="A90" s="74"/>
      <c r="B90" s="74"/>
      <c r="C90" s="74"/>
      <c r="D90" s="74"/>
      <c r="E90" s="74"/>
      <c r="F90" s="74"/>
      <c r="G90" s="74"/>
      <c r="H90" s="74"/>
      <c r="I90" s="74"/>
      <c r="J90" s="74"/>
      <c r="K90" s="74"/>
    </row>
    <row r="91" spans="1:11" ht="18.75" x14ac:dyDescent="0.3">
      <c r="A91" s="74"/>
      <c r="B91" s="74"/>
      <c r="C91" s="74"/>
      <c r="D91" s="74"/>
      <c r="E91" s="74"/>
      <c r="F91" s="74"/>
      <c r="G91" s="74"/>
      <c r="H91" s="74"/>
      <c r="I91" s="74"/>
      <c r="J91" s="74"/>
      <c r="K91" s="74"/>
    </row>
    <row r="92" spans="1:11" ht="18.75" x14ac:dyDescent="0.3">
      <c r="A92" s="74"/>
      <c r="B92" s="74"/>
      <c r="C92" s="74"/>
      <c r="D92" s="74"/>
      <c r="E92" s="74"/>
      <c r="F92" s="74"/>
      <c r="G92" s="74"/>
      <c r="H92" s="74"/>
      <c r="I92" s="74"/>
      <c r="J92" s="74"/>
      <c r="K92" s="74"/>
    </row>
    <row r="93" spans="1:11" ht="18.75" x14ac:dyDescent="0.3">
      <c r="A93" s="74"/>
      <c r="B93" s="74"/>
      <c r="C93" s="74"/>
      <c r="D93" s="74"/>
      <c r="E93" s="74"/>
      <c r="F93" s="74"/>
      <c r="G93" s="74"/>
      <c r="H93" s="74"/>
      <c r="I93" s="74"/>
      <c r="J93" s="74"/>
      <c r="K93" s="74"/>
    </row>
    <row r="94" spans="1:11" ht="18.75" x14ac:dyDescent="0.3">
      <c r="A94" s="74"/>
      <c r="B94" s="74"/>
      <c r="C94" s="74"/>
      <c r="D94" s="74"/>
      <c r="E94" s="74"/>
      <c r="F94" s="74"/>
      <c r="G94" s="74"/>
      <c r="H94" s="74"/>
      <c r="I94" s="74"/>
      <c r="J94" s="74"/>
      <c r="K94" s="74"/>
    </row>
    <row r="95" spans="1:11" ht="18.75" x14ac:dyDescent="0.3">
      <c r="A95" s="112"/>
      <c r="B95" s="112"/>
      <c r="C95" s="112"/>
      <c r="D95" s="112"/>
      <c r="E95" s="112"/>
      <c r="F95" s="112"/>
      <c r="G95" s="112"/>
      <c r="H95" s="112"/>
      <c r="I95" s="112"/>
      <c r="J95" s="112"/>
      <c r="K95" s="112"/>
    </row>
    <row r="96" spans="1:11" ht="18.75" x14ac:dyDescent="0.3">
      <c r="A96" s="116"/>
      <c r="B96" s="117"/>
      <c r="C96" s="117"/>
      <c r="D96" s="117"/>
      <c r="E96" s="74"/>
      <c r="F96" s="74"/>
      <c r="G96" s="74"/>
      <c r="H96" s="74"/>
      <c r="I96" s="74"/>
      <c r="J96" s="75"/>
      <c r="K96" s="75"/>
    </row>
    <row r="97" spans="1:11" ht="18.75" x14ac:dyDescent="0.3">
      <c r="A97" s="74"/>
      <c r="B97" s="74"/>
      <c r="C97" s="74"/>
      <c r="D97" s="74"/>
      <c r="E97" s="74"/>
      <c r="F97" s="74"/>
      <c r="G97" s="74"/>
      <c r="H97" s="74"/>
      <c r="I97" s="74"/>
      <c r="J97" s="74"/>
      <c r="K97" s="74"/>
    </row>
    <row r="98" spans="1:11" ht="18.75" x14ac:dyDescent="0.3">
      <c r="A98" s="74"/>
      <c r="B98" s="74"/>
      <c r="C98" s="74"/>
      <c r="D98" s="74"/>
      <c r="E98" s="74"/>
      <c r="F98" s="74"/>
      <c r="G98" s="74"/>
      <c r="H98" s="74"/>
      <c r="I98" s="74"/>
      <c r="J98" s="74"/>
      <c r="K98" s="74"/>
    </row>
    <row r="99" spans="1:11" ht="18.75" x14ac:dyDescent="0.3">
      <c r="A99" s="74"/>
      <c r="B99" s="74"/>
      <c r="C99" s="74"/>
      <c r="D99" s="74"/>
      <c r="E99" s="74"/>
      <c r="F99" s="74"/>
      <c r="G99" s="74"/>
      <c r="H99" s="74"/>
      <c r="I99" s="74"/>
      <c r="J99" s="74"/>
      <c r="K99" s="74"/>
    </row>
    <row r="100" spans="1:11" ht="18.75" x14ac:dyDescent="0.3">
      <c r="A100" s="74"/>
      <c r="B100" s="74"/>
      <c r="C100" s="74"/>
      <c r="D100" s="74"/>
      <c r="E100" s="74"/>
      <c r="F100" s="74"/>
      <c r="G100" s="74"/>
      <c r="H100" s="74"/>
      <c r="I100" s="74"/>
      <c r="J100" s="74"/>
      <c r="K100" s="74"/>
    </row>
    <row r="101" spans="1:11" ht="18.75" x14ac:dyDescent="0.3">
      <c r="A101" s="74"/>
      <c r="B101" s="74"/>
      <c r="C101" s="74"/>
      <c r="D101" s="74"/>
      <c r="E101" s="74"/>
      <c r="F101" s="74"/>
      <c r="G101" s="74"/>
      <c r="H101" s="74"/>
      <c r="I101" s="74"/>
      <c r="J101" s="74"/>
      <c r="K101" s="74"/>
    </row>
    <row r="102" spans="1:11" ht="18.75" x14ac:dyDescent="0.3">
      <c r="A102" s="74"/>
      <c r="B102" s="74"/>
      <c r="C102" s="74"/>
      <c r="D102" s="74"/>
      <c r="E102" s="74"/>
      <c r="F102" s="74"/>
      <c r="G102" s="74"/>
      <c r="H102" s="74"/>
      <c r="I102" s="74"/>
      <c r="J102" s="74"/>
      <c r="K102" s="74"/>
    </row>
    <row r="103" spans="1:11" ht="18.75" x14ac:dyDescent="0.3">
      <c r="A103" s="74"/>
      <c r="B103" s="74"/>
      <c r="C103" s="74"/>
      <c r="D103" s="74"/>
      <c r="E103" s="74"/>
      <c r="F103" s="74"/>
      <c r="G103" s="74"/>
      <c r="H103" s="74"/>
      <c r="I103" s="74"/>
      <c r="J103" s="74"/>
      <c r="K103" s="74"/>
    </row>
    <row r="104" spans="1:11" ht="18.75" x14ac:dyDescent="0.3">
      <c r="A104" s="74"/>
      <c r="B104" s="74"/>
      <c r="C104" s="74"/>
      <c r="D104" s="74"/>
      <c r="E104" s="74"/>
      <c r="F104" s="74"/>
      <c r="G104" s="74"/>
      <c r="H104" s="74"/>
      <c r="I104" s="74"/>
      <c r="J104" s="74"/>
      <c r="K104" s="74"/>
    </row>
    <row r="105" spans="1:11" ht="18.75" x14ac:dyDescent="0.3">
      <c r="A105" s="74"/>
      <c r="B105" s="74"/>
      <c r="C105" s="74"/>
      <c r="D105" s="74"/>
      <c r="E105" s="74"/>
      <c r="F105" s="74"/>
      <c r="G105" s="74"/>
      <c r="H105" s="74"/>
      <c r="I105" s="74"/>
      <c r="J105" s="74"/>
      <c r="K105" s="74"/>
    </row>
    <row r="106" spans="1:11" ht="18.75" x14ac:dyDescent="0.3">
      <c r="A106" s="74"/>
      <c r="B106" s="74"/>
      <c r="C106" s="74"/>
      <c r="D106" s="74"/>
      <c r="E106" s="74"/>
      <c r="F106" s="74"/>
      <c r="G106" s="74"/>
      <c r="H106" s="74"/>
      <c r="I106" s="74"/>
      <c r="J106" s="74"/>
      <c r="K106" s="74"/>
    </row>
    <row r="107" spans="1:11" ht="18.75" x14ac:dyDescent="0.3">
      <c r="A107" s="74"/>
      <c r="B107" s="74"/>
      <c r="C107" s="74"/>
      <c r="D107" s="74"/>
      <c r="E107" s="74"/>
      <c r="F107" s="74"/>
      <c r="G107" s="74"/>
      <c r="H107" s="74"/>
      <c r="I107" s="74"/>
      <c r="J107" s="74"/>
      <c r="K107" s="74"/>
    </row>
    <row r="108" spans="1:11" ht="18.75" x14ac:dyDescent="0.3">
      <c r="A108" s="74"/>
      <c r="B108" s="74"/>
      <c r="C108" s="74"/>
      <c r="D108" s="74"/>
      <c r="E108" s="74"/>
      <c r="F108" s="74"/>
      <c r="G108" s="74"/>
      <c r="H108" s="74"/>
      <c r="I108" s="74"/>
      <c r="J108" s="74"/>
      <c r="K108" s="74"/>
    </row>
  </sheetData>
  <mergeCells count="5">
    <mergeCell ref="N5:O5"/>
    <mergeCell ref="A3:B3"/>
    <mergeCell ref="B5:E5"/>
    <mergeCell ref="G5:J5"/>
    <mergeCell ref="L5:M5"/>
  </mergeCells>
  <hyperlinks>
    <hyperlink ref="B1" location="Innhold!A1" display="Tilbake" xr:uid="{00000000-0004-0000-0300-000000000000}"/>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W115"/>
  <sheetViews>
    <sheetView showGridLines="0" showZeros="0" zoomScale="90" zoomScaleNormal="9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8" x14ac:dyDescent="0.25"/>
  <cols>
    <col min="1" max="1" width="51" style="81" customWidth="1"/>
    <col min="2" max="3" width="17.85546875" style="81" bestFit="1" customWidth="1"/>
    <col min="4" max="4" width="9.28515625" style="81" bestFit="1" customWidth="1"/>
    <col min="5" max="5" width="4.7109375" style="81" customWidth="1"/>
    <col min="6" max="7" width="16.7109375" style="81" customWidth="1"/>
    <col min="8" max="8" width="9.28515625" style="81" bestFit="1" customWidth="1"/>
    <col min="9" max="9" width="4.7109375" style="81" customWidth="1"/>
    <col min="10" max="10" width="18.85546875" style="81" customWidth="1"/>
    <col min="11" max="11" width="18" style="81" bestFit="1" customWidth="1"/>
    <col min="12" max="12" width="9.28515625" style="81" bestFit="1" customWidth="1"/>
    <col min="13" max="13" width="11.42578125" style="81"/>
    <col min="14" max="15" width="17.140625" style="81" bestFit="1" customWidth="1"/>
    <col min="16" max="16384" width="11.42578125" style="81"/>
  </cols>
  <sheetData>
    <row r="1" spans="1:13" ht="20.25" x14ac:dyDescent="0.3">
      <c r="A1" s="80" t="s">
        <v>79</v>
      </c>
      <c r="B1" s="73" t="s">
        <v>52</v>
      </c>
      <c r="C1" s="74"/>
      <c r="D1" s="74"/>
      <c r="E1" s="74"/>
      <c r="F1" s="74"/>
      <c r="G1" s="74"/>
      <c r="H1" s="74"/>
      <c r="I1" s="74"/>
      <c r="J1" s="74"/>
      <c r="K1" s="74"/>
      <c r="L1" s="74"/>
      <c r="M1" s="74"/>
    </row>
    <row r="2" spans="1:13" ht="20.25" x14ac:dyDescent="0.3">
      <c r="A2" s="80" t="s">
        <v>108</v>
      </c>
      <c r="B2" s="73"/>
      <c r="C2" s="74"/>
      <c r="D2" s="74"/>
      <c r="E2" s="74"/>
      <c r="F2" s="74"/>
      <c r="G2" s="74"/>
      <c r="H2" s="74"/>
      <c r="I2" s="74"/>
      <c r="J2" s="74"/>
      <c r="K2" s="74"/>
      <c r="L2" s="74"/>
      <c r="M2" s="74"/>
    </row>
    <row r="3" spans="1:13" ht="18.75" x14ac:dyDescent="0.3">
      <c r="A3" s="75" t="s">
        <v>109</v>
      </c>
      <c r="B3" s="74"/>
      <c r="C3" s="74"/>
      <c r="D3" s="74"/>
      <c r="E3" s="74"/>
      <c r="F3" s="74"/>
      <c r="G3" s="74"/>
      <c r="H3" s="74"/>
      <c r="I3" s="74"/>
      <c r="J3" s="74"/>
      <c r="K3" s="74"/>
      <c r="L3" s="74"/>
      <c r="M3" s="74"/>
    </row>
    <row r="4" spans="1:13" ht="18.75" x14ac:dyDescent="0.3">
      <c r="A4" s="82" t="s">
        <v>414</v>
      </c>
      <c r="B4" s="102"/>
      <c r="C4" s="118"/>
      <c r="D4" s="119"/>
      <c r="E4" s="112"/>
      <c r="F4" s="83"/>
      <c r="G4" s="84"/>
      <c r="H4" s="85"/>
      <c r="I4" s="112"/>
      <c r="J4" s="83"/>
      <c r="K4" s="84"/>
      <c r="L4" s="85"/>
      <c r="M4" s="74"/>
    </row>
    <row r="5" spans="1:13" ht="18.75" x14ac:dyDescent="0.3">
      <c r="A5" s="120"/>
      <c r="B5" s="677" t="s">
        <v>0</v>
      </c>
      <c r="C5" s="678"/>
      <c r="D5" s="679"/>
      <c r="E5" s="89"/>
      <c r="F5" s="677" t="s">
        <v>1</v>
      </c>
      <c r="G5" s="678"/>
      <c r="H5" s="679"/>
      <c r="I5" s="121"/>
      <c r="J5" s="677" t="s">
        <v>110</v>
      </c>
      <c r="K5" s="678"/>
      <c r="L5" s="679"/>
      <c r="M5" s="74"/>
    </row>
    <row r="6" spans="1:13" ht="18.75" x14ac:dyDescent="0.3">
      <c r="A6" s="122"/>
      <c r="B6" s="123"/>
      <c r="C6" s="124"/>
      <c r="D6" s="94" t="s">
        <v>111</v>
      </c>
      <c r="E6" s="100"/>
      <c r="F6" s="123"/>
      <c r="G6" s="124"/>
      <c r="H6" s="94" t="s">
        <v>111</v>
      </c>
      <c r="I6" s="125"/>
      <c r="J6" s="123"/>
      <c r="K6" s="124"/>
      <c r="L6" s="94" t="s">
        <v>111</v>
      </c>
      <c r="M6" s="74"/>
    </row>
    <row r="7" spans="1:13" ht="18.75" x14ac:dyDescent="0.3">
      <c r="A7" s="126" t="s">
        <v>112</v>
      </c>
      <c r="B7" s="127">
        <v>2018</v>
      </c>
      <c r="C7" s="184">
        <v>2019</v>
      </c>
      <c r="D7" s="99" t="s">
        <v>85</v>
      </c>
      <c r="E7" s="100"/>
      <c r="F7" s="97">
        <v>2018</v>
      </c>
      <c r="G7" s="127">
        <v>2019</v>
      </c>
      <c r="H7" s="99" t="s">
        <v>85</v>
      </c>
      <c r="I7" s="128"/>
      <c r="J7" s="183">
        <v>2018</v>
      </c>
      <c r="K7" s="184">
        <v>2019</v>
      </c>
      <c r="L7" s="99" t="s">
        <v>85</v>
      </c>
      <c r="M7" s="74"/>
    </row>
    <row r="8" spans="1:13" ht="22.5" x14ac:dyDescent="0.3">
      <c r="A8" s="191" t="s">
        <v>113</v>
      </c>
      <c r="B8" s="230"/>
      <c r="C8" s="200"/>
      <c r="D8" s="200"/>
      <c r="E8" s="181"/>
      <c r="F8" s="200"/>
      <c r="G8" s="200"/>
      <c r="H8" s="200"/>
      <c r="I8" s="201"/>
      <c r="J8" s="200"/>
      <c r="K8" s="200"/>
      <c r="L8" s="200"/>
      <c r="M8" s="74"/>
    </row>
    <row r="9" spans="1:13" ht="18.75" x14ac:dyDescent="0.3">
      <c r="A9" s="192" t="s">
        <v>114</v>
      </c>
      <c r="B9" s="104">
        <f>'Skjema total MA'!B7</f>
        <v>2556484.4866331103</v>
      </c>
      <c r="C9" s="104">
        <f>'Skjema total MA'!C7</f>
        <v>2655603.8684923854</v>
      </c>
      <c r="D9" s="231">
        <f>IF(B9=0, "    ---- ", IF(ABS(ROUND(100/B9*C9-100,1))&lt;999,ROUND(100/B9*C9-100,1),IF(ROUND(100/B9*C9-100,1)&gt;999,999,-999)))</f>
        <v>3.9</v>
      </c>
      <c r="E9" s="181"/>
      <c r="F9" s="195">
        <f>'Skjema total MA'!E7</f>
        <v>3720632.22584</v>
      </c>
      <c r="G9" s="195">
        <f>'Skjema total MA'!F7</f>
        <v>5027290.4678600002</v>
      </c>
      <c r="H9" s="231">
        <f>IF(F9=0, "    ---- ", IF(ABS(ROUND(100/F9*G9-100,1))&lt;999,ROUND(100/F9*G9-100,1),IF(ROUND(100/F9*G9-100,1)&gt;999,999,-999)))</f>
        <v>35.1</v>
      </c>
      <c r="I9" s="181"/>
      <c r="J9" s="195">
        <f t="shared" ref="J9:K60" si="0">SUM(B9+F9)</f>
        <v>6277116.7124731103</v>
      </c>
      <c r="K9" s="195">
        <f t="shared" si="0"/>
        <v>7682894.3363523856</v>
      </c>
      <c r="L9" s="229">
        <f>IF(J9=0, "    ---- ", IF(ABS(ROUND(100/J9*K9-100,1))&lt;999,ROUND(100/J9*K9-100,1),IF(ROUND(100/J9*K9-100,1)&gt;999,999,-999)))</f>
        <v>22.4</v>
      </c>
      <c r="M9" s="74"/>
    </row>
    <row r="10" spans="1:13" ht="18.75" x14ac:dyDescent="0.3">
      <c r="A10" s="192" t="s">
        <v>115</v>
      </c>
      <c r="B10" s="104">
        <f>'Skjema total MA'!B22</f>
        <v>895767.05928341171</v>
      </c>
      <c r="C10" s="104">
        <f>'Skjema total MA'!C22</f>
        <v>1034087.1083524066</v>
      </c>
      <c r="D10" s="231">
        <f t="shared" ref="D10:D17" si="1">IF(B10=0, "    ---- ", IF(ABS(ROUND(100/B10*C10-100,1))&lt;999,ROUND(100/B10*C10-100,1),IF(ROUND(100/B10*C10-100,1)&gt;999,999,-999)))</f>
        <v>15.4</v>
      </c>
      <c r="E10" s="181"/>
      <c r="F10" s="195">
        <f>'Skjema total MA'!E22</f>
        <v>538598.03300000005</v>
      </c>
      <c r="G10" s="195">
        <f>'Skjema total MA'!F22</f>
        <v>553554.9885199999</v>
      </c>
      <c r="H10" s="231">
        <f t="shared" ref="H10:H57" si="2">IF(F10=0, "    ---- ", IF(ABS(ROUND(100/F10*G10-100,1))&lt;999,ROUND(100/F10*G10-100,1),IF(ROUND(100/F10*G10-100,1)&gt;999,999,-999)))</f>
        <v>2.8</v>
      </c>
      <c r="I10" s="181"/>
      <c r="J10" s="195">
        <f t="shared" si="0"/>
        <v>1434365.0922834119</v>
      </c>
      <c r="K10" s="195">
        <f t="shared" si="0"/>
        <v>1587642.0968724065</v>
      </c>
      <c r="L10" s="229">
        <f t="shared" ref="L10:L60" si="3">IF(J10=0, "    ---- ", IF(ABS(ROUND(100/J10*K10-100,1))&lt;999,ROUND(100/J10*K10-100,1),IF(ROUND(100/J10*K10-100,1)&gt;999,999,-999)))</f>
        <v>10.7</v>
      </c>
      <c r="M10" s="74"/>
    </row>
    <row r="11" spans="1:13" ht="18.75" x14ac:dyDescent="0.3">
      <c r="A11" s="192" t="s">
        <v>116</v>
      </c>
      <c r="B11" s="104">
        <f>'Skjema total MA'!B47</f>
        <v>3030760.675886136</v>
      </c>
      <c r="C11" s="104">
        <f>'Skjema total MA'!C47</f>
        <v>3228505.0265786871</v>
      </c>
      <c r="D11" s="231">
        <f t="shared" si="1"/>
        <v>6.5</v>
      </c>
      <c r="E11" s="181"/>
      <c r="F11" s="195"/>
      <c r="G11" s="195"/>
      <c r="H11" s="231" t="str">
        <f t="shared" si="2"/>
        <v xml:space="preserve">    ---- </v>
      </c>
      <c r="I11" s="181"/>
      <c r="J11" s="195">
        <f t="shared" si="0"/>
        <v>3030760.675886136</v>
      </c>
      <c r="K11" s="195">
        <f t="shared" si="0"/>
        <v>3228505.0265786871</v>
      </c>
      <c r="L11" s="229">
        <f t="shared" si="3"/>
        <v>6.5</v>
      </c>
      <c r="M11" s="74"/>
    </row>
    <row r="12" spans="1:13" ht="18.75" x14ac:dyDescent="0.3">
      <c r="A12" s="192" t="s">
        <v>117</v>
      </c>
      <c r="B12" s="104">
        <f>'Skjema total MA'!B66</f>
        <v>5507992.5312899994</v>
      </c>
      <c r="C12" s="104">
        <f>'Skjema total MA'!C66</f>
        <v>5371394.7729599997</v>
      </c>
      <c r="D12" s="231">
        <f t="shared" si="1"/>
        <v>-2.5</v>
      </c>
      <c r="E12" s="181"/>
      <c r="F12" s="195">
        <f>'Skjema total MA'!E66</f>
        <v>14177897.093189999</v>
      </c>
      <c r="G12" s="195">
        <f>'Skjema total MA'!F66</f>
        <v>15723703.786499999</v>
      </c>
      <c r="H12" s="231">
        <f t="shared" si="2"/>
        <v>10.9</v>
      </c>
      <c r="I12" s="181"/>
      <c r="J12" s="195">
        <f t="shared" si="0"/>
        <v>19685889.624479998</v>
      </c>
      <c r="K12" s="195">
        <f t="shared" si="0"/>
        <v>21095098.559459999</v>
      </c>
      <c r="L12" s="229">
        <f t="shared" si="3"/>
        <v>7.2</v>
      </c>
      <c r="M12" s="74"/>
    </row>
    <row r="13" spans="1:13" ht="18.75" x14ac:dyDescent="0.3">
      <c r="A13" s="192" t="s">
        <v>118</v>
      </c>
      <c r="B13" s="104">
        <f>'Skjema total MA'!B68</f>
        <v>112817.36937</v>
      </c>
      <c r="C13" s="104">
        <f>'Skjema total MA'!C68</f>
        <v>113458.54446999999</v>
      </c>
      <c r="D13" s="231">
        <f t="shared" si="1"/>
        <v>0.6</v>
      </c>
      <c r="E13" s="181"/>
      <c r="F13" s="195">
        <f>'Skjema total MA'!E68</f>
        <v>13980079.274530001</v>
      </c>
      <c r="G13" s="195">
        <f>'Skjema total MA'!F68</f>
        <v>15515185.414980002</v>
      </c>
      <c r="H13" s="231">
        <f t="shared" si="2"/>
        <v>11</v>
      </c>
      <c r="I13" s="181"/>
      <c r="J13" s="195">
        <f t="shared" si="0"/>
        <v>14092896.643900001</v>
      </c>
      <c r="K13" s="195">
        <f t="shared" si="0"/>
        <v>15628643.959450001</v>
      </c>
      <c r="L13" s="229">
        <f t="shared" si="3"/>
        <v>10.9</v>
      </c>
      <c r="M13" s="74"/>
    </row>
    <row r="14" spans="1:13" s="133" customFormat="1" ht="18.75" x14ac:dyDescent="0.3">
      <c r="A14" s="193" t="s">
        <v>119</v>
      </c>
      <c r="B14" s="131">
        <f>'Skjema total MA'!B75</f>
        <v>170231.05813999998</v>
      </c>
      <c r="C14" s="131">
        <f>'Skjema total MA'!C75</f>
        <v>203073.50758</v>
      </c>
      <c r="D14" s="231">
        <f t="shared" si="1"/>
        <v>19.3</v>
      </c>
      <c r="E14" s="182"/>
      <c r="F14" s="196">
        <f>'Skjema total MA'!E75</f>
        <v>197817.81865999999</v>
      </c>
      <c r="G14" s="196">
        <f>'Skjema total MA'!F75</f>
        <v>208518.37151999999</v>
      </c>
      <c r="H14" s="231">
        <f t="shared" si="2"/>
        <v>5.4</v>
      </c>
      <c r="I14" s="182"/>
      <c r="J14" s="195">
        <f t="shared" si="0"/>
        <v>368048.87679999997</v>
      </c>
      <c r="K14" s="195">
        <f t="shared" si="0"/>
        <v>411591.87910000002</v>
      </c>
      <c r="L14" s="229">
        <f t="shared" si="3"/>
        <v>11.8</v>
      </c>
      <c r="M14" s="132"/>
    </row>
    <row r="15" spans="1:13" ht="22.5" x14ac:dyDescent="0.3">
      <c r="A15" s="192" t="s">
        <v>359</v>
      </c>
      <c r="B15" s="104">
        <f>'Skjema total MA'!B134</f>
        <v>23490793.809119999</v>
      </c>
      <c r="C15" s="104">
        <f>'Skjema total MA'!C134</f>
        <v>23675675.884070002</v>
      </c>
      <c r="D15" s="231">
        <f t="shared" si="1"/>
        <v>0.8</v>
      </c>
      <c r="E15" s="181"/>
      <c r="F15" s="195">
        <f>'Skjema total MA'!E134</f>
        <v>90028.570999999996</v>
      </c>
      <c r="G15" s="195">
        <f>'Skjema total MA'!F134</f>
        <v>89130.341</v>
      </c>
      <c r="H15" s="231">
        <f t="shared" si="2"/>
        <v>-1</v>
      </c>
      <c r="I15" s="181"/>
      <c r="J15" s="195">
        <f t="shared" si="0"/>
        <v>23580822.380119998</v>
      </c>
      <c r="K15" s="195">
        <f t="shared" si="0"/>
        <v>23764806.22507</v>
      </c>
      <c r="L15" s="229">
        <f t="shared" si="3"/>
        <v>0.8</v>
      </c>
      <c r="M15" s="74"/>
    </row>
    <row r="16" spans="1:13" ht="18.75" x14ac:dyDescent="0.3">
      <c r="A16" s="192" t="s">
        <v>120</v>
      </c>
      <c r="B16" s="104">
        <f>'Skjema total MA'!B36</f>
        <v>2378.9630000000002</v>
      </c>
      <c r="C16" s="104">
        <f>'Skjema total MA'!C36</f>
        <v>2146.748</v>
      </c>
      <c r="D16" s="231">
        <f t="shared" si="1"/>
        <v>-9.8000000000000007</v>
      </c>
      <c r="E16" s="181"/>
      <c r="F16" s="195">
        <f>'Skjema total MA'!E36</f>
        <v>0</v>
      </c>
      <c r="G16" s="195">
        <f>'Skjema total MA'!F36</f>
        <v>0</v>
      </c>
      <c r="H16" s="231" t="str">
        <f t="shared" si="2"/>
        <v xml:space="preserve">    ---- </v>
      </c>
      <c r="I16" s="181"/>
      <c r="J16" s="195">
        <f t="shared" si="0"/>
        <v>2378.9630000000002</v>
      </c>
      <c r="K16" s="195">
        <f t="shared" si="0"/>
        <v>2146.748</v>
      </c>
      <c r="L16" s="229">
        <f t="shared" si="3"/>
        <v>-9.8000000000000007</v>
      </c>
      <c r="M16" s="74"/>
    </row>
    <row r="17" spans="1:23" s="135" customFormat="1" ht="18.75" customHeight="1" x14ac:dyDescent="0.3">
      <c r="A17" s="137" t="s">
        <v>121</v>
      </c>
      <c r="B17" s="110">
        <f>'Tabel 1.1'!B30</f>
        <v>35484177.52521266</v>
      </c>
      <c r="C17" s="197">
        <f>'Tabel 1.1'!C30</f>
        <v>35967413.408453479</v>
      </c>
      <c r="D17" s="231">
        <f t="shared" si="1"/>
        <v>1.4</v>
      </c>
      <c r="E17" s="138"/>
      <c r="F17" s="197">
        <f>'Tabel 1.1'!B43</f>
        <v>18527155.92303</v>
      </c>
      <c r="G17" s="197">
        <f>'Tabel 1.1'!C43</f>
        <v>21393679.58388</v>
      </c>
      <c r="H17" s="231">
        <f t="shared" si="2"/>
        <v>15.5</v>
      </c>
      <c r="I17" s="138"/>
      <c r="J17" s="197">
        <f t="shared" si="0"/>
        <v>54011333.448242664</v>
      </c>
      <c r="K17" s="197">
        <f t="shared" si="0"/>
        <v>57361092.992333479</v>
      </c>
      <c r="L17" s="229">
        <f t="shared" si="3"/>
        <v>6.2</v>
      </c>
      <c r="M17" s="75"/>
      <c r="N17" s="134"/>
      <c r="O17" s="134"/>
      <c r="Q17" s="136"/>
      <c r="R17" s="136"/>
      <c r="S17" s="136"/>
      <c r="T17" s="136"/>
      <c r="U17" s="136"/>
      <c r="V17" s="136"/>
      <c r="W17" s="136"/>
    </row>
    <row r="18" spans="1:23" ht="18.75" customHeight="1" x14ac:dyDescent="0.3">
      <c r="A18" s="137"/>
      <c r="B18" s="104"/>
      <c r="C18" s="195"/>
      <c r="D18" s="195"/>
      <c r="E18" s="181"/>
      <c r="F18" s="195"/>
      <c r="G18" s="195"/>
      <c r="H18" s="231"/>
      <c r="I18" s="181"/>
      <c r="J18" s="195"/>
      <c r="K18" s="195"/>
      <c r="L18" s="229"/>
      <c r="M18" s="74"/>
    </row>
    <row r="19" spans="1:23" ht="18.75" customHeight="1" x14ac:dyDescent="0.3">
      <c r="A19" s="191" t="s">
        <v>360</v>
      </c>
      <c r="B19" s="199"/>
      <c r="C19" s="202"/>
      <c r="D19" s="195"/>
      <c r="E19" s="181"/>
      <c r="F19" s="202"/>
      <c r="G19" s="202"/>
      <c r="H19" s="231"/>
      <c r="I19" s="181"/>
      <c r="J19" s="195"/>
      <c r="K19" s="195"/>
      <c r="L19" s="229"/>
      <c r="M19" s="74"/>
    </row>
    <row r="20" spans="1:23" ht="18.75" customHeight="1" x14ac:dyDescent="0.3">
      <c r="A20" s="192" t="s">
        <v>114</v>
      </c>
      <c r="B20" s="104">
        <f>'Skjema total MA'!B10</f>
        <v>21559420.257731661</v>
      </c>
      <c r="C20" s="104">
        <f>'Skjema total MA'!C10</f>
        <v>19695305.131564621</v>
      </c>
      <c r="D20" s="231">
        <f>IF(B20=0, "    ---- ", IF(ABS(ROUND(100/B20*C20-100,1))&lt;999,ROUND(100/B20*C20-100,1),IF(ROUND(100/B20*C20-100,1)&gt;999,999,-999)))</f>
        <v>-8.6</v>
      </c>
      <c r="E20" s="181"/>
      <c r="F20" s="195">
        <f>'Skjema total MA'!E10</f>
        <v>43299753.480128706</v>
      </c>
      <c r="G20" s="195">
        <f>'Skjema total MA'!F10</f>
        <v>46403857.422623903</v>
      </c>
      <c r="H20" s="231">
        <f t="shared" si="2"/>
        <v>7.2</v>
      </c>
      <c r="I20" s="181"/>
      <c r="J20" s="195">
        <f t="shared" si="0"/>
        <v>64859173.737860367</v>
      </c>
      <c r="K20" s="195">
        <f t="shared" si="0"/>
        <v>66099162.55418852</v>
      </c>
      <c r="L20" s="229">
        <f t="shared" si="3"/>
        <v>1.9</v>
      </c>
      <c r="M20" s="74"/>
    </row>
    <row r="21" spans="1:23" ht="18.75" customHeight="1" x14ac:dyDescent="0.3">
      <c r="A21" s="192" t="s">
        <v>115</v>
      </c>
      <c r="B21" s="104">
        <f>'Skjema total MA'!B29</f>
        <v>49473380.099160001</v>
      </c>
      <c r="C21" s="104">
        <f>'Skjema total MA'!C29</f>
        <v>47456724.740865126</v>
      </c>
      <c r="D21" s="231">
        <f t="shared" ref="D21:D27" si="4">IF(B21=0, "    ---- ", IF(ABS(ROUND(100/B21*C21-100,1))&lt;999,ROUND(100/B21*C21-100,1),IF(ROUND(100/B21*C21-100,1)&gt;999,999,-999)))</f>
        <v>-4.0999999999999996</v>
      </c>
      <c r="E21" s="181"/>
      <c r="F21" s="195">
        <f>'Skjema total MA'!E29</f>
        <v>20370842.341710001</v>
      </c>
      <c r="G21" s="195">
        <f>'Skjema total MA'!F29</f>
        <v>20431887.880460002</v>
      </c>
      <c r="H21" s="231">
        <f t="shared" si="2"/>
        <v>0.3</v>
      </c>
      <c r="I21" s="181"/>
      <c r="J21" s="195">
        <f t="shared" si="0"/>
        <v>69844222.440870002</v>
      </c>
      <c r="K21" s="195">
        <f t="shared" si="0"/>
        <v>67888612.621325135</v>
      </c>
      <c r="L21" s="229">
        <f t="shared" si="3"/>
        <v>-2.8</v>
      </c>
      <c r="M21" s="74"/>
    </row>
    <row r="22" spans="1:23" ht="18.75" x14ac:dyDescent="0.3">
      <c r="A22" s="192" t="s">
        <v>117</v>
      </c>
      <c r="B22" s="104">
        <f>'Skjema total MA'!B87</f>
        <v>385014090.96905792</v>
      </c>
      <c r="C22" s="104">
        <f>'Skjema total MA'!C87</f>
        <v>389885695.19011629</v>
      </c>
      <c r="D22" s="231">
        <f t="shared" si="4"/>
        <v>1.3</v>
      </c>
      <c r="E22" s="181"/>
      <c r="F22" s="195">
        <f>'Skjema total MA'!E87</f>
        <v>246587116.6186713</v>
      </c>
      <c r="G22" s="195">
        <f>'Skjema total MA'!F87</f>
        <v>283834336.74636626</v>
      </c>
      <c r="H22" s="231">
        <f t="shared" si="2"/>
        <v>15.1</v>
      </c>
      <c r="I22" s="181"/>
      <c r="J22" s="195">
        <f t="shared" si="0"/>
        <v>631601207.58772922</v>
      </c>
      <c r="K22" s="195">
        <f t="shared" si="0"/>
        <v>673720031.93648255</v>
      </c>
      <c r="L22" s="229">
        <f t="shared" si="3"/>
        <v>6.7</v>
      </c>
      <c r="M22" s="74"/>
    </row>
    <row r="23" spans="1:23" ht="22.5" x14ac:dyDescent="0.3">
      <c r="A23" s="192" t="s">
        <v>122</v>
      </c>
      <c r="B23" s="104">
        <f>'Skjema total MA'!B89</f>
        <v>2673617.6564883101</v>
      </c>
      <c r="C23" s="104">
        <f>'Skjema total MA'!C89</f>
        <v>2922228.1409006999</v>
      </c>
      <c r="D23" s="231">
        <f t="shared" si="4"/>
        <v>9.3000000000000007</v>
      </c>
      <c r="E23" s="181"/>
      <c r="F23" s="195">
        <f>'Skjema total MA'!E89</f>
        <v>245670099.50194129</v>
      </c>
      <c r="G23" s="195">
        <f>'Skjema total MA'!F89</f>
        <v>282533539.23976624</v>
      </c>
      <c r="H23" s="231">
        <f t="shared" si="2"/>
        <v>15</v>
      </c>
      <c r="I23" s="181"/>
      <c r="J23" s="195">
        <f t="shared" si="0"/>
        <v>248343717.15842959</v>
      </c>
      <c r="K23" s="195">
        <f t="shared" si="0"/>
        <v>285455767.38066691</v>
      </c>
      <c r="L23" s="229">
        <f t="shared" si="3"/>
        <v>14.9</v>
      </c>
      <c r="M23" s="74"/>
    </row>
    <row r="24" spans="1:23" ht="18.75" x14ac:dyDescent="0.3">
      <c r="A24" s="193" t="s">
        <v>119</v>
      </c>
      <c r="B24" s="104">
        <f>'Skjema total MA'!B96</f>
        <v>687453.30648999999</v>
      </c>
      <c r="C24" s="104">
        <f>'Skjema total MA'!C96</f>
        <v>1120597.0015499999</v>
      </c>
      <c r="D24" s="231">
        <f t="shared" si="4"/>
        <v>63</v>
      </c>
      <c r="E24" s="181"/>
      <c r="F24" s="195">
        <f>'Skjema total MA'!E96</f>
        <v>917017.11673000001</v>
      </c>
      <c r="G24" s="195">
        <f>'Skjema total MA'!F96</f>
        <v>1300797.5066</v>
      </c>
      <c r="H24" s="231">
        <f t="shared" si="2"/>
        <v>41.9</v>
      </c>
      <c r="I24" s="181"/>
      <c r="J24" s="195">
        <f t="shared" si="0"/>
        <v>1604470.42322</v>
      </c>
      <c r="K24" s="195">
        <f t="shared" si="0"/>
        <v>2421394.5081500001</v>
      </c>
      <c r="L24" s="229">
        <f t="shared" si="3"/>
        <v>50.9</v>
      </c>
      <c r="M24" s="74"/>
    </row>
    <row r="25" spans="1:23" ht="22.5" x14ac:dyDescent="0.3">
      <c r="A25" s="192" t="s">
        <v>359</v>
      </c>
      <c r="B25" s="104">
        <f>'Skjema total MA'!B135</f>
        <v>540551093.09562004</v>
      </c>
      <c r="C25" s="104">
        <f>'Skjema total MA'!C135</f>
        <v>570346836.1523</v>
      </c>
      <c r="D25" s="231">
        <f t="shared" si="4"/>
        <v>5.5</v>
      </c>
      <c r="E25" s="181"/>
      <c r="F25" s="195">
        <f>'Skjema total MA'!E135</f>
        <v>2451095.8211500002</v>
      </c>
      <c r="G25" s="195">
        <f>'Skjema total MA'!F135</f>
        <v>2587219.1831499999</v>
      </c>
      <c r="H25" s="231">
        <f t="shared" si="2"/>
        <v>5.6</v>
      </c>
      <c r="I25" s="181"/>
      <c r="J25" s="195">
        <f t="shared" si="0"/>
        <v>543002188.91676998</v>
      </c>
      <c r="K25" s="195">
        <f t="shared" si="0"/>
        <v>572934055.33545005</v>
      </c>
      <c r="L25" s="229">
        <f t="shared" si="3"/>
        <v>5.5</v>
      </c>
      <c r="M25" s="74"/>
    </row>
    <row r="26" spans="1:23" ht="18.75" x14ac:dyDescent="0.3">
      <c r="A26" s="192" t="s">
        <v>120</v>
      </c>
      <c r="B26" s="104">
        <f>'Skjema total MA'!B37</f>
        <v>3924030.3969999999</v>
      </c>
      <c r="C26" s="104">
        <f>'Skjema total MA'!C37</f>
        <v>3749205.2209999999</v>
      </c>
      <c r="D26" s="231">
        <f t="shared" si="4"/>
        <v>-4.5</v>
      </c>
      <c r="E26" s="181"/>
      <c r="F26" s="195">
        <f>'Skjema total MA'!E37</f>
        <v>0</v>
      </c>
      <c r="G26" s="195">
        <f>'Skjema total MA'!F37</f>
        <v>0</v>
      </c>
      <c r="H26" s="231" t="str">
        <f t="shared" si="2"/>
        <v xml:space="preserve">    ---- </v>
      </c>
      <c r="I26" s="181"/>
      <c r="J26" s="195">
        <f t="shared" si="0"/>
        <v>3924030.3969999999</v>
      </c>
      <c r="K26" s="195">
        <f t="shared" si="0"/>
        <v>3749205.2209999999</v>
      </c>
      <c r="L26" s="229">
        <f t="shared" si="3"/>
        <v>-4.5</v>
      </c>
      <c r="M26" s="74"/>
    </row>
    <row r="27" spans="1:23" s="135" customFormat="1" ht="18.75" x14ac:dyDescent="0.3">
      <c r="A27" s="137" t="s">
        <v>123</v>
      </c>
      <c r="B27" s="110">
        <f>'Tabel 1.1'!G30</f>
        <v>1000522014.8185697</v>
      </c>
      <c r="C27" s="197">
        <f>'Tabel 1.1'!H30</f>
        <v>1031133766.4358461</v>
      </c>
      <c r="D27" s="231">
        <f t="shared" si="4"/>
        <v>3.1</v>
      </c>
      <c r="E27" s="138"/>
      <c r="F27" s="197">
        <f>'Tabel 1.1'!G43</f>
        <v>312708808.26165998</v>
      </c>
      <c r="G27" s="197">
        <f>'Tabel 1.1'!H43</f>
        <v>353257301.23260009</v>
      </c>
      <c r="H27" s="231">
        <f t="shared" si="2"/>
        <v>13</v>
      </c>
      <c r="I27" s="138"/>
      <c r="J27" s="197">
        <f t="shared" si="0"/>
        <v>1313230823.0802298</v>
      </c>
      <c r="K27" s="197">
        <f t="shared" si="0"/>
        <v>1384391067.6684461</v>
      </c>
      <c r="L27" s="229">
        <f t="shared" si="3"/>
        <v>5.4</v>
      </c>
      <c r="M27" s="75"/>
      <c r="N27" s="134"/>
      <c r="O27" s="134"/>
    </row>
    <row r="28" spans="1:23" ht="18.75" x14ac:dyDescent="0.3">
      <c r="A28" s="137"/>
      <c r="B28" s="104"/>
      <c r="C28" s="195"/>
      <c r="D28" s="231"/>
      <c r="E28" s="181"/>
      <c r="F28" s="195"/>
      <c r="G28" s="195"/>
      <c r="H28" s="231"/>
      <c r="I28" s="181"/>
      <c r="J28" s="195">
        <f t="shared" si="0"/>
        <v>0</v>
      </c>
      <c r="K28" s="195">
        <f t="shared" si="0"/>
        <v>0</v>
      </c>
      <c r="L28" s="229"/>
      <c r="M28" s="74"/>
    </row>
    <row r="29" spans="1:23" ht="22.5" x14ac:dyDescent="0.3">
      <c r="A29" s="191" t="s">
        <v>361</v>
      </c>
      <c r="B29" s="199"/>
      <c r="C29" s="202"/>
      <c r="D29" s="195"/>
      <c r="E29" s="181"/>
      <c r="F29" s="195"/>
      <c r="G29" s="195"/>
      <c r="H29" s="231"/>
      <c r="I29" s="181"/>
      <c r="J29" s="195"/>
      <c r="K29" s="195"/>
      <c r="L29" s="229"/>
      <c r="M29" s="74"/>
    </row>
    <row r="30" spans="1:23" ht="18.75" x14ac:dyDescent="0.3">
      <c r="A30" s="192" t="s">
        <v>114</v>
      </c>
      <c r="B30" s="104">
        <f>'Skjema total MA'!B11</f>
        <v>6222</v>
      </c>
      <c r="C30" s="104">
        <f>'Skjema total MA'!C11</f>
        <v>25094</v>
      </c>
      <c r="D30" s="231">
        <f>IF(B30=0, "    ---- ", IF(ABS(ROUND(100/B30*C30-100,1))&lt;999,ROUND(100/B30*C30-100,1),IF(ROUND(100/B30*C30-100,1)&gt;999,999,-999)))</f>
        <v>303.3</v>
      </c>
      <c r="E30" s="181"/>
      <c r="F30" s="195">
        <f>'Skjema total MA'!E11</f>
        <v>138181.52788000001</v>
      </c>
      <c r="G30" s="195">
        <f>'Skjema total MA'!F11</f>
        <v>167899.82689000003</v>
      </c>
      <c r="H30" s="231">
        <f t="shared" si="2"/>
        <v>21.5</v>
      </c>
      <c r="I30" s="181"/>
      <c r="J30" s="195">
        <f t="shared" si="0"/>
        <v>144403.52788000001</v>
      </c>
      <c r="K30" s="195">
        <f t="shared" si="0"/>
        <v>192993.82689000003</v>
      </c>
      <c r="L30" s="229">
        <f t="shared" si="3"/>
        <v>33.6</v>
      </c>
      <c r="M30" s="74"/>
    </row>
    <row r="31" spans="1:23" ht="18.75" x14ac:dyDescent="0.3">
      <c r="A31" s="192" t="s">
        <v>115</v>
      </c>
      <c r="B31" s="104">
        <f>'Skjema total MA'!B34</f>
        <v>12336.792280000001</v>
      </c>
      <c r="C31" s="104">
        <f>'Skjema total MA'!C34</f>
        <v>12913.531999999999</v>
      </c>
      <c r="D31" s="231">
        <f t="shared" ref="D31:D38" si="5">IF(B31=0, "    ---- ", IF(ABS(ROUND(100/B31*C31-100,1))&lt;999,ROUND(100/B31*C31-100,1),IF(ROUND(100/B31*C31-100,1)&gt;999,999,-999)))</f>
        <v>4.7</v>
      </c>
      <c r="E31" s="181"/>
      <c r="F31" s="195">
        <f>'Skjema total MA'!E34</f>
        <v>27349.812709999998</v>
      </c>
      <c r="G31" s="195">
        <f>'Skjema total MA'!F34</f>
        <v>38931.135770000001</v>
      </c>
      <c r="H31" s="231">
        <f t="shared" si="2"/>
        <v>42.3</v>
      </c>
      <c r="I31" s="181"/>
      <c r="J31" s="195">
        <f t="shared" si="0"/>
        <v>39686.60499</v>
      </c>
      <c r="K31" s="195">
        <f t="shared" si="0"/>
        <v>51844.66777</v>
      </c>
      <c r="L31" s="229">
        <f t="shared" si="3"/>
        <v>30.6</v>
      </c>
      <c r="M31" s="74"/>
    </row>
    <row r="32" spans="1:23" ht="18.75" x14ac:dyDescent="0.3">
      <c r="A32" s="192" t="s">
        <v>117</v>
      </c>
      <c r="B32" s="104">
        <f>'Skjema total MA'!B111</f>
        <v>227989.08746000001</v>
      </c>
      <c r="C32" s="104">
        <f>'Skjema total MA'!C111</f>
        <v>263561.81909</v>
      </c>
      <c r="D32" s="231">
        <f t="shared" si="5"/>
        <v>15.6</v>
      </c>
      <c r="E32" s="181"/>
      <c r="F32" s="195">
        <f>'Skjema total MA'!E111</f>
        <v>7097513.9270299999</v>
      </c>
      <c r="G32" s="195">
        <f>'Skjema total MA'!F111</f>
        <v>8159840.7861800008</v>
      </c>
      <c r="H32" s="231">
        <f t="shared" si="2"/>
        <v>15</v>
      </c>
      <c r="I32" s="181"/>
      <c r="J32" s="195">
        <f t="shared" si="0"/>
        <v>7325503.01449</v>
      </c>
      <c r="K32" s="195">
        <f t="shared" si="0"/>
        <v>8423402.6052700002</v>
      </c>
      <c r="L32" s="229">
        <f t="shared" si="3"/>
        <v>15</v>
      </c>
      <c r="M32" s="74"/>
    </row>
    <row r="33" spans="1:15" ht="22.5" x14ac:dyDescent="0.3">
      <c r="A33" s="192" t="s">
        <v>359</v>
      </c>
      <c r="B33" s="104">
        <f>'Skjema total MA'!B136</f>
        <v>315630.97899999999</v>
      </c>
      <c r="C33" s="104">
        <f>'Skjema total MA'!C136</f>
        <v>106107.522</v>
      </c>
      <c r="D33" s="231">
        <f t="shared" si="5"/>
        <v>-66.400000000000006</v>
      </c>
      <c r="E33" s="181"/>
      <c r="F33" s="195">
        <f>'Skjema total MA'!E136</f>
        <v>0</v>
      </c>
      <c r="G33" s="195">
        <f>'Skjema total MA'!F136</f>
        <v>0</v>
      </c>
      <c r="H33" s="231" t="str">
        <f t="shared" si="2"/>
        <v xml:space="preserve">    ---- </v>
      </c>
      <c r="I33" s="181"/>
      <c r="J33" s="195">
        <f t="shared" si="0"/>
        <v>315630.97899999999</v>
      </c>
      <c r="K33" s="195">
        <f t="shared" si="0"/>
        <v>106107.522</v>
      </c>
      <c r="L33" s="229">
        <f t="shared" si="3"/>
        <v>-66.400000000000006</v>
      </c>
      <c r="M33" s="74"/>
    </row>
    <row r="34" spans="1:15" ht="18.75" x14ac:dyDescent="0.3">
      <c r="A34" s="192" t="s">
        <v>120</v>
      </c>
      <c r="B34" s="104">
        <f>'Skjema total MA'!B38</f>
        <v>611</v>
      </c>
      <c r="C34" s="104">
        <f>'Skjema total MA'!C38</f>
        <v>0</v>
      </c>
      <c r="D34" s="231">
        <f t="shared" si="5"/>
        <v>-100</v>
      </c>
      <c r="E34" s="181"/>
      <c r="F34" s="195">
        <f>'Skjema total MA'!E38</f>
        <v>0</v>
      </c>
      <c r="G34" s="195">
        <f>'Skjema total MA'!F38</f>
        <v>0</v>
      </c>
      <c r="H34" s="231" t="str">
        <f t="shared" si="2"/>
        <v xml:space="preserve">    ---- </v>
      </c>
      <c r="I34" s="181"/>
      <c r="J34" s="195">
        <f t="shared" si="0"/>
        <v>611</v>
      </c>
      <c r="K34" s="195">
        <f t="shared" si="0"/>
        <v>0</v>
      </c>
      <c r="L34" s="229">
        <f t="shared" si="3"/>
        <v>-100</v>
      </c>
      <c r="M34" s="74"/>
    </row>
    <row r="35" spans="1:15" s="135" customFormat="1" ht="18.75" x14ac:dyDescent="0.3">
      <c r="A35" s="137" t="s">
        <v>124</v>
      </c>
      <c r="B35" s="110">
        <f>SUM(B30:B34)</f>
        <v>562789.85874000005</v>
      </c>
      <c r="C35" s="197">
        <f>SUM(C30:C34)</f>
        <v>407676.87309000001</v>
      </c>
      <c r="D35" s="231">
        <f t="shared" si="5"/>
        <v>-27.6</v>
      </c>
      <c r="E35" s="138"/>
      <c r="F35" s="197">
        <f>SUM(F30:F34)</f>
        <v>7263045.2676200001</v>
      </c>
      <c r="G35" s="197">
        <f>SUM(G30:G34)</f>
        <v>8366671.7488400005</v>
      </c>
      <c r="H35" s="231">
        <f t="shared" si="2"/>
        <v>15.2</v>
      </c>
      <c r="I35" s="138"/>
      <c r="J35" s="197">
        <f t="shared" si="0"/>
        <v>7825835.1263600001</v>
      </c>
      <c r="K35" s="197">
        <f t="shared" si="0"/>
        <v>8774348.6219300013</v>
      </c>
      <c r="L35" s="229">
        <f t="shared" si="3"/>
        <v>12.1</v>
      </c>
      <c r="M35" s="75"/>
    </row>
    <row r="36" spans="1:15" ht="18.75" x14ac:dyDescent="0.3">
      <c r="A36" s="137"/>
      <c r="B36" s="110"/>
      <c r="C36" s="197"/>
      <c r="D36" s="231"/>
      <c r="E36" s="138"/>
      <c r="F36" s="197"/>
      <c r="G36" s="197"/>
      <c r="H36" s="231" t="str">
        <f t="shared" si="2"/>
        <v xml:space="preserve">    ---- </v>
      </c>
      <c r="I36" s="138"/>
      <c r="J36" s="195"/>
      <c r="K36" s="195"/>
      <c r="L36" s="229" t="str">
        <f t="shared" si="3"/>
        <v xml:space="preserve">    ---- </v>
      </c>
      <c r="M36" s="74"/>
    </row>
    <row r="37" spans="1:15" ht="22.5" x14ac:dyDescent="0.3">
      <c r="A37" s="137" t="s">
        <v>362</v>
      </c>
      <c r="B37" s="110"/>
      <c r="C37" s="197"/>
      <c r="D37" s="195"/>
      <c r="E37" s="138"/>
      <c r="F37" s="197"/>
      <c r="G37" s="197"/>
      <c r="H37" s="231"/>
      <c r="I37" s="138"/>
      <c r="J37" s="195"/>
      <c r="K37" s="195"/>
      <c r="L37" s="229"/>
      <c r="M37" s="74"/>
    </row>
    <row r="38" spans="1:15" s="135" customFormat="1" ht="18.75" x14ac:dyDescent="0.3">
      <c r="A38" s="137" t="s">
        <v>116</v>
      </c>
      <c r="B38" s="110">
        <f>'Skjema total MA'!B53</f>
        <v>78144.771999999997</v>
      </c>
      <c r="C38" s="110">
        <f>'Skjema total MA'!C53</f>
        <v>190740.902</v>
      </c>
      <c r="D38" s="231">
        <f t="shared" si="5"/>
        <v>144.1</v>
      </c>
      <c r="E38" s="138"/>
      <c r="F38" s="197"/>
      <c r="G38" s="197"/>
      <c r="H38" s="231" t="str">
        <f t="shared" si="2"/>
        <v xml:space="preserve">    ---- </v>
      </c>
      <c r="I38" s="138"/>
      <c r="J38" s="197">
        <f t="shared" si="0"/>
        <v>78144.771999999997</v>
      </c>
      <c r="K38" s="197">
        <f t="shared" si="0"/>
        <v>190740.902</v>
      </c>
      <c r="L38" s="229">
        <f t="shared" si="3"/>
        <v>144.1</v>
      </c>
      <c r="M38" s="75"/>
    </row>
    <row r="39" spans="1:15" ht="18.75" x14ac:dyDescent="0.3">
      <c r="A39" s="137"/>
      <c r="B39" s="110"/>
      <c r="C39" s="197"/>
      <c r="D39" s="195"/>
      <c r="E39" s="138"/>
      <c r="F39" s="197"/>
      <c r="G39" s="197"/>
      <c r="H39" s="231"/>
      <c r="I39" s="138"/>
      <c r="J39" s="195"/>
      <c r="K39" s="195"/>
      <c r="L39" s="229"/>
      <c r="M39" s="74"/>
    </row>
    <row r="40" spans="1:15" ht="22.5" x14ac:dyDescent="0.3">
      <c r="A40" s="191" t="s">
        <v>363</v>
      </c>
      <c r="B40" s="199"/>
      <c r="C40" s="202"/>
      <c r="D40" s="195"/>
      <c r="E40" s="181"/>
      <c r="F40" s="195"/>
      <c r="G40" s="195"/>
      <c r="H40" s="231"/>
      <c r="I40" s="181"/>
      <c r="J40" s="195"/>
      <c r="K40" s="195"/>
      <c r="L40" s="229"/>
      <c r="M40" s="74"/>
    </row>
    <row r="41" spans="1:15" ht="18.75" x14ac:dyDescent="0.3">
      <c r="A41" s="192" t="s">
        <v>114</v>
      </c>
      <c r="B41" s="104">
        <f>'Skjema total MA'!B12</f>
        <v>-30</v>
      </c>
      <c r="C41" s="104">
        <f>'Skjema total MA'!C12</f>
        <v>4345</v>
      </c>
      <c r="D41" s="231">
        <f>IF(B41=0, "    ---- ", IF(ABS(ROUND(100/B41*C41-100,1))&lt;999,ROUND(100/B41*C41-100,1),IF(ROUND(100/B41*C41-100,1)&gt;999,999,-999)))</f>
        <v>-999</v>
      </c>
      <c r="E41" s="181"/>
      <c r="F41" s="195">
        <f>'Skjema total MA'!E12</f>
        <v>130514.20641</v>
      </c>
      <c r="G41" s="195">
        <f>'Skjema total MA'!F12</f>
        <v>113325.11262000001</v>
      </c>
      <c r="H41" s="231">
        <f t="shared" si="2"/>
        <v>-13.2</v>
      </c>
      <c r="I41" s="181"/>
      <c r="J41" s="195">
        <f t="shared" si="0"/>
        <v>130484.20641</v>
      </c>
      <c r="K41" s="195">
        <f t="shared" si="0"/>
        <v>117670.11262000001</v>
      </c>
      <c r="L41" s="229">
        <f t="shared" si="3"/>
        <v>-9.8000000000000007</v>
      </c>
      <c r="M41" s="74"/>
    </row>
    <row r="42" spans="1:15" ht="18.75" x14ac:dyDescent="0.3">
      <c r="A42" s="192" t="s">
        <v>115</v>
      </c>
      <c r="B42" s="104">
        <f>'Skjema total MA'!B35</f>
        <v>-19215.964090000001</v>
      </c>
      <c r="C42" s="104">
        <f>'Skjema total MA'!C35</f>
        <v>-11935.315350000001</v>
      </c>
      <c r="D42" s="231">
        <f t="shared" ref="D42:D46" si="6">IF(B42=0, "    ---- ", IF(ABS(ROUND(100/B42*C42-100,1))&lt;999,ROUND(100/B42*C42-100,1),IF(ROUND(100/B42*C42-100,1)&gt;999,999,-999)))</f>
        <v>-37.9</v>
      </c>
      <c r="E42" s="181"/>
      <c r="F42" s="195">
        <f>'Skjema total MA'!E35</f>
        <v>54283.249890000006</v>
      </c>
      <c r="G42" s="195">
        <f>'Skjema total MA'!F35</f>
        <v>63915.847379999999</v>
      </c>
      <c r="H42" s="231">
        <f t="shared" si="2"/>
        <v>17.7</v>
      </c>
      <c r="I42" s="181"/>
      <c r="J42" s="195">
        <f t="shared" si="0"/>
        <v>35067.285800000005</v>
      </c>
      <c r="K42" s="195">
        <f t="shared" si="0"/>
        <v>51980.532030000002</v>
      </c>
      <c r="L42" s="229">
        <f t="shared" si="3"/>
        <v>48.2</v>
      </c>
      <c r="M42" s="74"/>
    </row>
    <row r="43" spans="1:15" ht="18.75" x14ac:dyDescent="0.3">
      <c r="A43" s="192" t="s">
        <v>117</v>
      </c>
      <c r="B43" s="104">
        <f>'Skjema total MA'!B119</f>
        <v>343709.60941999999</v>
      </c>
      <c r="C43" s="104">
        <f>'Skjema total MA'!C119</f>
        <v>279928.84003999998</v>
      </c>
      <c r="D43" s="231">
        <f t="shared" si="6"/>
        <v>-18.600000000000001</v>
      </c>
      <c r="E43" s="181"/>
      <c r="F43" s="195">
        <f>'Skjema total MA'!E119</f>
        <v>7631084.1111300001</v>
      </c>
      <c r="G43" s="195">
        <f>'Skjema total MA'!F119</f>
        <v>8098020.3008900005</v>
      </c>
      <c r="H43" s="231">
        <f t="shared" si="2"/>
        <v>6.1</v>
      </c>
      <c r="I43" s="181"/>
      <c r="J43" s="195">
        <f t="shared" si="0"/>
        <v>7974793.7205499997</v>
      </c>
      <c r="K43" s="195">
        <f t="shared" si="0"/>
        <v>8377949.1409300007</v>
      </c>
      <c r="L43" s="229">
        <f t="shared" si="3"/>
        <v>5.0999999999999996</v>
      </c>
      <c r="M43" s="74"/>
    </row>
    <row r="44" spans="1:15" ht="22.5" x14ac:dyDescent="0.3">
      <c r="A44" s="192" t="s">
        <v>359</v>
      </c>
      <c r="B44" s="104">
        <f>'Skjema total MA'!B137</f>
        <v>496739.50099999999</v>
      </c>
      <c r="C44" s="104">
        <f>'Skjema total MA'!C137</f>
        <v>248299.76699999999</v>
      </c>
      <c r="D44" s="231">
        <f t="shared" si="6"/>
        <v>-50</v>
      </c>
      <c r="E44" s="181"/>
      <c r="F44" s="195">
        <f>'Skjema total MA'!E137</f>
        <v>0</v>
      </c>
      <c r="G44" s="195">
        <f>'Skjema total MA'!F137</f>
        <v>0</v>
      </c>
      <c r="H44" s="231" t="str">
        <f t="shared" si="2"/>
        <v xml:space="preserve">    ---- </v>
      </c>
      <c r="I44" s="181"/>
      <c r="J44" s="195">
        <f t="shared" si="0"/>
        <v>496739.50099999999</v>
      </c>
      <c r="K44" s="195">
        <f t="shared" si="0"/>
        <v>248299.76699999999</v>
      </c>
      <c r="L44" s="229">
        <f t="shared" si="3"/>
        <v>-50</v>
      </c>
      <c r="M44" s="74"/>
    </row>
    <row r="45" spans="1:15" ht="18.75" x14ac:dyDescent="0.3">
      <c r="A45" s="192" t="s">
        <v>120</v>
      </c>
      <c r="B45" s="104">
        <f>'Skjema total MA'!B39</f>
        <v>3</v>
      </c>
      <c r="C45" s="104">
        <f>'Skjema total MA'!C39</f>
        <v>2</v>
      </c>
      <c r="D45" s="231">
        <f t="shared" si="6"/>
        <v>-33.299999999999997</v>
      </c>
      <c r="E45" s="181"/>
      <c r="F45" s="195"/>
      <c r="G45" s="195"/>
      <c r="H45" s="231" t="str">
        <f t="shared" si="2"/>
        <v xml:space="preserve">    ---- </v>
      </c>
      <c r="I45" s="181"/>
      <c r="J45" s="195">
        <f t="shared" si="0"/>
        <v>3</v>
      </c>
      <c r="K45" s="195">
        <f t="shared" si="0"/>
        <v>2</v>
      </c>
      <c r="L45" s="229">
        <f t="shared" si="3"/>
        <v>-33.299999999999997</v>
      </c>
      <c r="M45" s="74"/>
    </row>
    <row r="46" spans="1:15" s="135" customFormat="1" ht="18.75" x14ac:dyDescent="0.3">
      <c r="A46" s="137" t="s">
        <v>125</v>
      </c>
      <c r="B46" s="110">
        <f>SUM(B41:B45)</f>
        <v>821206.1463299999</v>
      </c>
      <c r="C46" s="197">
        <f>SUM(C41:C45)</f>
        <v>520640.29168999998</v>
      </c>
      <c r="D46" s="231">
        <f t="shared" si="6"/>
        <v>-36.6</v>
      </c>
      <c r="E46" s="138"/>
      <c r="F46" s="197">
        <f>SUM(F41:F45)</f>
        <v>7815881.5674299998</v>
      </c>
      <c r="G46" s="270">
        <f>SUM(G41:G45)</f>
        <v>8275261.2608900005</v>
      </c>
      <c r="H46" s="231">
        <f t="shared" si="2"/>
        <v>5.9</v>
      </c>
      <c r="I46" s="138"/>
      <c r="J46" s="197">
        <f t="shared" si="0"/>
        <v>8637087.7137599997</v>
      </c>
      <c r="K46" s="197">
        <f t="shared" si="0"/>
        <v>8795901.5525800008</v>
      </c>
      <c r="L46" s="229">
        <f t="shared" si="3"/>
        <v>1.8</v>
      </c>
      <c r="M46" s="75"/>
      <c r="N46" s="134"/>
      <c r="O46" s="134"/>
    </row>
    <row r="47" spans="1:15" ht="18.75" x14ac:dyDescent="0.3">
      <c r="A47" s="137"/>
      <c r="B47" s="110"/>
      <c r="C47" s="197"/>
      <c r="D47" s="195"/>
      <c r="E47" s="138"/>
      <c r="F47" s="197"/>
      <c r="G47" s="197"/>
      <c r="H47" s="231"/>
      <c r="I47" s="138"/>
      <c r="J47" s="195"/>
      <c r="K47" s="195"/>
      <c r="L47" s="229"/>
      <c r="M47" s="74"/>
    </row>
    <row r="48" spans="1:15" ht="22.5" x14ac:dyDescent="0.3">
      <c r="A48" s="137" t="s">
        <v>364</v>
      </c>
      <c r="B48" s="110"/>
      <c r="C48" s="197"/>
      <c r="D48" s="195"/>
      <c r="E48" s="138"/>
      <c r="F48" s="197"/>
      <c r="G48" s="197"/>
      <c r="H48" s="231"/>
      <c r="I48" s="138"/>
      <c r="J48" s="195"/>
      <c r="K48" s="195"/>
      <c r="L48" s="229"/>
      <c r="M48" s="74"/>
    </row>
    <row r="49" spans="1:15" s="135" customFormat="1" ht="18.75" x14ac:dyDescent="0.3">
      <c r="A49" s="137" t="s">
        <v>116</v>
      </c>
      <c r="B49" s="110">
        <f>'Skjema total MA'!B56</f>
        <v>78329.883999999991</v>
      </c>
      <c r="C49" s="110">
        <f>'Skjema total MA'!C56</f>
        <v>155583.511</v>
      </c>
      <c r="D49" s="231">
        <f t="shared" ref="D49" si="7">IF(B49=0, "    ---- ", IF(ABS(ROUND(100/B49*C49-100,1))&lt;999,ROUND(100/B49*C49-100,1),IF(ROUND(100/B49*C49-100,1)&gt;999,999,-999)))</f>
        <v>98.6</v>
      </c>
      <c r="E49" s="138"/>
      <c r="F49" s="197"/>
      <c r="G49" s="197"/>
      <c r="H49" s="231" t="str">
        <f t="shared" si="2"/>
        <v xml:space="preserve">    ---- </v>
      </c>
      <c r="I49" s="138"/>
      <c r="J49" s="197">
        <f>SUM(B49+F49)</f>
        <v>78329.883999999991</v>
      </c>
      <c r="K49" s="197">
        <f>SUM(C49+G49)</f>
        <v>155583.511</v>
      </c>
      <c r="L49" s="229">
        <f t="shared" si="3"/>
        <v>98.6</v>
      </c>
      <c r="M49" s="75"/>
    </row>
    <row r="50" spans="1:15" ht="18.75" x14ac:dyDescent="0.3">
      <c r="A50" s="137"/>
      <c r="B50" s="104"/>
      <c r="C50" s="195"/>
      <c r="D50" s="195"/>
      <c r="E50" s="181"/>
      <c r="F50" s="195"/>
      <c r="G50" s="195"/>
      <c r="H50" s="231"/>
      <c r="I50" s="181"/>
      <c r="J50" s="195"/>
      <c r="K50" s="195"/>
      <c r="L50" s="229"/>
      <c r="M50" s="74"/>
    </row>
    <row r="51" spans="1:15" ht="21.75" x14ac:dyDescent="0.3">
      <c r="A51" s="191" t="s">
        <v>365</v>
      </c>
      <c r="B51" s="104"/>
      <c r="C51" s="195"/>
      <c r="D51" s="195"/>
      <c r="E51" s="181"/>
      <c r="F51" s="195"/>
      <c r="G51" s="195"/>
      <c r="H51" s="231" t="str">
        <f t="shared" si="2"/>
        <v xml:space="preserve">    ---- </v>
      </c>
      <c r="I51" s="181"/>
      <c r="J51" s="195"/>
      <c r="K51" s="195"/>
      <c r="L51" s="229" t="str">
        <f t="shared" si="3"/>
        <v xml:space="preserve">    ---- </v>
      </c>
      <c r="M51" s="74"/>
    </row>
    <row r="52" spans="1:15" ht="18.75" x14ac:dyDescent="0.3">
      <c r="A52" s="192" t="s">
        <v>114</v>
      </c>
      <c r="B52" s="104">
        <f>B30-B41</f>
        <v>6252</v>
      </c>
      <c r="C52" s="195">
        <f>C30-C41</f>
        <v>20749</v>
      </c>
      <c r="D52" s="231">
        <f>IF(B52=0, "    ---- ", IF(ABS(ROUND(100/B52*C52-100,1))&lt;999,ROUND(100/B52*C52-100,1),IF(ROUND(100/B52*C52-100,1)&gt;999,999,-999)))</f>
        <v>231.9</v>
      </c>
      <c r="E52" s="181"/>
      <c r="F52" s="195">
        <f>F30-F41</f>
        <v>7667.3214700000099</v>
      </c>
      <c r="G52" s="195">
        <f>G30-G41</f>
        <v>54574.714270000011</v>
      </c>
      <c r="H52" s="231">
        <f t="shared" si="2"/>
        <v>611.79999999999995</v>
      </c>
      <c r="I52" s="181"/>
      <c r="J52" s="195">
        <f t="shared" si="0"/>
        <v>13919.32147000001</v>
      </c>
      <c r="K52" s="195">
        <f t="shared" si="0"/>
        <v>75323.714270000011</v>
      </c>
      <c r="L52" s="229">
        <f t="shared" si="3"/>
        <v>441.1</v>
      </c>
      <c r="M52" s="74"/>
    </row>
    <row r="53" spans="1:15" ht="18.75" x14ac:dyDescent="0.3">
      <c r="A53" s="192" t="s">
        <v>115</v>
      </c>
      <c r="B53" s="104">
        <f t="shared" ref="B53:C56" si="8">B31-B42</f>
        <v>31552.756370000003</v>
      </c>
      <c r="C53" s="195">
        <f t="shared" si="8"/>
        <v>24848.84735</v>
      </c>
      <c r="D53" s="231">
        <f t="shared" ref="D53:D60" si="9">IF(B53=0, "    ---- ", IF(ABS(ROUND(100/B53*C53-100,1))&lt;999,ROUND(100/B53*C53-100,1),IF(ROUND(100/B53*C53-100,1)&gt;999,999,-999)))</f>
        <v>-21.2</v>
      </c>
      <c r="E53" s="181"/>
      <c r="F53" s="195">
        <f t="shared" ref="F53:G56" si="10">F31-F42</f>
        <v>-26933.437180000008</v>
      </c>
      <c r="G53" s="195">
        <f t="shared" si="10"/>
        <v>-24984.711609999998</v>
      </c>
      <c r="H53" s="231">
        <f t="shared" si="2"/>
        <v>-7.2</v>
      </c>
      <c r="I53" s="181"/>
      <c r="J53" s="195">
        <f t="shared" si="0"/>
        <v>4619.3191899999947</v>
      </c>
      <c r="K53" s="195">
        <f t="shared" si="0"/>
        <v>-135.86425999999847</v>
      </c>
      <c r="L53" s="229">
        <f t="shared" si="3"/>
        <v>-102.9</v>
      </c>
      <c r="M53" s="74"/>
    </row>
    <row r="54" spans="1:15" ht="18.75" x14ac:dyDescent="0.3">
      <c r="A54" s="192" t="s">
        <v>117</v>
      </c>
      <c r="B54" s="104">
        <f t="shared" si="8"/>
        <v>-115720.52195999998</v>
      </c>
      <c r="C54" s="195">
        <f t="shared" si="8"/>
        <v>-16367.020949999976</v>
      </c>
      <c r="D54" s="231">
        <f t="shared" si="9"/>
        <v>-85.9</v>
      </c>
      <c r="E54" s="181"/>
      <c r="F54" s="195">
        <f t="shared" si="10"/>
        <v>-533570.18410000019</v>
      </c>
      <c r="G54" s="195">
        <f t="shared" si="10"/>
        <v>61820.485290000215</v>
      </c>
      <c r="H54" s="231">
        <f t="shared" si="2"/>
        <v>-111.6</v>
      </c>
      <c r="I54" s="181"/>
      <c r="J54" s="195">
        <f t="shared" si="0"/>
        <v>-649290.70606000023</v>
      </c>
      <c r="K54" s="195">
        <f t="shared" si="0"/>
        <v>45453.464340000239</v>
      </c>
      <c r="L54" s="229">
        <f t="shared" si="3"/>
        <v>-107</v>
      </c>
      <c r="M54" s="74"/>
    </row>
    <row r="55" spans="1:15" ht="22.5" x14ac:dyDescent="0.3">
      <c r="A55" s="192" t="s">
        <v>359</v>
      </c>
      <c r="B55" s="104">
        <f t="shared" si="8"/>
        <v>-181108.522</v>
      </c>
      <c r="C55" s="195">
        <f t="shared" si="8"/>
        <v>-142192.245</v>
      </c>
      <c r="D55" s="231">
        <f t="shared" si="9"/>
        <v>-21.5</v>
      </c>
      <c r="E55" s="181"/>
      <c r="F55" s="195">
        <f t="shared" si="10"/>
        <v>0</v>
      </c>
      <c r="G55" s="195">
        <f t="shared" si="10"/>
        <v>0</v>
      </c>
      <c r="H55" s="231" t="str">
        <f t="shared" si="2"/>
        <v xml:space="preserve">    ---- </v>
      </c>
      <c r="I55" s="181"/>
      <c r="J55" s="195">
        <f t="shared" si="0"/>
        <v>-181108.522</v>
      </c>
      <c r="K55" s="195">
        <f t="shared" si="0"/>
        <v>-142192.245</v>
      </c>
      <c r="L55" s="229">
        <f t="shared" si="3"/>
        <v>-21.5</v>
      </c>
      <c r="M55" s="74"/>
    </row>
    <row r="56" spans="1:15" ht="18.75" x14ac:dyDescent="0.3">
      <c r="A56" s="192" t="s">
        <v>120</v>
      </c>
      <c r="B56" s="104">
        <f t="shared" si="8"/>
        <v>608</v>
      </c>
      <c r="C56" s="195">
        <f t="shared" si="8"/>
        <v>-2</v>
      </c>
      <c r="D56" s="231">
        <f t="shared" si="9"/>
        <v>-100.3</v>
      </c>
      <c r="E56" s="181"/>
      <c r="F56" s="195">
        <f t="shared" si="10"/>
        <v>0</v>
      </c>
      <c r="G56" s="195">
        <f t="shared" si="10"/>
        <v>0</v>
      </c>
      <c r="H56" s="231" t="str">
        <f t="shared" si="2"/>
        <v xml:space="preserve">    ---- </v>
      </c>
      <c r="I56" s="181"/>
      <c r="J56" s="195">
        <f t="shared" si="0"/>
        <v>608</v>
      </c>
      <c r="K56" s="195">
        <f t="shared" si="0"/>
        <v>-2</v>
      </c>
      <c r="L56" s="229">
        <f t="shared" si="3"/>
        <v>-100.3</v>
      </c>
      <c r="M56" s="74"/>
    </row>
    <row r="57" spans="1:15" s="135" customFormat="1" ht="18.75" x14ac:dyDescent="0.3">
      <c r="A57" s="137" t="s">
        <v>126</v>
      </c>
      <c r="B57" s="110">
        <f>SUM(B52:B56)</f>
        <v>-258416.28758999996</v>
      </c>
      <c r="C57" s="197">
        <f>SUM(C52:C56)</f>
        <v>-112963.41859999998</v>
      </c>
      <c r="D57" s="231">
        <f>IF(B57=0, "    ---- ", IF(ABS(ROUND(100/B57*C57-100,1))&lt;999,ROUND(100/B57*C57-100,1),IF(ROUND(100/B57*C57-100,1)&gt;999,999,-999)))</f>
        <v>-56.3</v>
      </c>
      <c r="E57" s="138"/>
      <c r="F57" s="197">
        <f>SUM(F52:F56)</f>
        <v>-552836.29981000023</v>
      </c>
      <c r="G57" s="270">
        <f>SUM(G52:G56)</f>
        <v>91410.487950000228</v>
      </c>
      <c r="H57" s="231">
        <f t="shared" si="2"/>
        <v>-116.5</v>
      </c>
      <c r="I57" s="138"/>
      <c r="J57" s="197">
        <f t="shared" si="0"/>
        <v>-811252.58740000019</v>
      </c>
      <c r="K57" s="195">
        <f t="shared" si="0"/>
        <v>-21552.930649999747</v>
      </c>
      <c r="L57" s="229">
        <f t="shared" si="3"/>
        <v>-97.3</v>
      </c>
      <c r="M57" s="75"/>
      <c r="N57" s="134"/>
      <c r="O57" s="134"/>
    </row>
    <row r="58" spans="1:15" ht="18.75" x14ac:dyDescent="0.3">
      <c r="A58" s="137"/>
      <c r="B58" s="110"/>
      <c r="C58" s="197"/>
      <c r="D58" s="231"/>
      <c r="E58" s="138"/>
      <c r="F58" s="197"/>
      <c r="G58" s="197"/>
      <c r="H58" s="231"/>
      <c r="I58" s="138"/>
      <c r="J58" s="197"/>
      <c r="K58" s="195"/>
      <c r="L58" s="229"/>
      <c r="M58" s="74"/>
    </row>
    <row r="59" spans="1:15" ht="22.5" x14ac:dyDescent="0.3">
      <c r="A59" s="137" t="s">
        <v>366</v>
      </c>
      <c r="B59" s="110"/>
      <c r="C59" s="197"/>
      <c r="D59" s="231"/>
      <c r="E59" s="138"/>
      <c r="F59" s="197"/>
      <c r="G59" s="197"/>
      <c r="H59" s="231"/>
      <c r="I59" s="138"/>
      <c r="J59" s="197"/>
      <c r="K59" s="195"/>
      <c r="L59" s="229"/>
      <c r="M59" s="74"/>
    </row>
    <row r="60" spans="1:15" s="135" customFormat="1" ht="18.75" x14ac:dyDescent="0.3">
      <c r="A60" s="137" t="s">
        <v>116</v>
      </c>
      <c r="B60" s="110">
        <f>B38-B49</f>
        <v>-185.11199999999371</v>
      </c>
      <c r="C60" s="197">
        <f>C38-C49</f>
        <v>35157.391000000003</v>
      </c>
      <c r="D60" s="231">
        <f t="shared" si="9"/>
        <v>-999</v>
      </c>
      <c r="E60" s="138"/>
      <c r="F60" s="197">
        <f>F38-F49</f>
        <v>0</v>
      </c>
      <c r="G60" s="197">
        <f>G38-G49</f>
        <v>0</v>
      </c>
      <c r="H60" s="231"/>
      <c r="I60" s="138"/>
      <c r="J60" s="197">
        <f t="shared" si="0"/>
        <v>-185.11199999999371</v>
      </c>
      <c r="K60" s="195">
        <f t="shared" si="0"/>
        <v>35157.391000000003</v>
      </c>
      <c r="L60" s="229">
        <f t="shared" si="3"/>
        <v>-999</v>
      </c>
      <c r="M60" s="75"/>
    </row>
    <row r="61" spans="1:15" s="135" customFormat="1" ht="18.75" x14ac:dyDescent="0.3">
      <c r="A61" s="194"/>
      <c r="B61" s="115"/>
      <c r="C61" s="198"/>
      <c r="D61" s="203"/>
      <c r="E61" s="138"/>
      <c r="F61" s="198"/>
      <c r="G61" s="198"/>
      <c r="H61" s="203"/>
      <c r="I61" s="138"/>
      <c r="J61" s="203"/>
      <c r="K61" s="203"/>
      <c r="L61" s="203"/>
      <c r="M61" s="75"/>
    </row>
    <row r="62" spans="1:15" ht="18.75" x14ac:dyDescent="0.3">
      <c r="A62" s="112" t="s">
        <v>127</v>
      </c>
      <c r="C62" s="139"/>
      <c r="D62" s="139"/>
      <c r="E62" s="139"/>
      <c r="F62" s="139"/>
      <c r="G62" s="112"/>
      <c r="H62" s="74"/>
      <c r="I62" s="112"/>
      <c r="J62" s="112"/>
      <c r="K62" s="112"/>
      <c r="L62" s="74"/>
      <c r="M62" s="74"/>
    </row>
    <row r="63" spans="1:15" ht="18.75" x14ac:dyDescent="0.3">
      <c r="A63" s="112" t="s">
        <v>128</v>
      </c>
      <c r="C63" s="139"/>
      <c r="D63" s="139"/>
      <c r="E63" s="139"/>
      <c r="F63" s="139"/>
      <c r="G63" s="74"/>
      <c r="H63" s="74"/>
      <c r="I63" s="74"/>
      <c r="J63" s="74"/>
      <c r="K63" s="74"/>
      <c r="L63" s="74"/>
      <c r="M63" s="74"/>
    </row>
    <row r="64" spans="1:15" ht="18.75" x14ac:dyDescent="0.3">
      <c r="A64" s="112" t="s">
        <v>107</v>
      </c>
      <c r="B64" s="74"/>
      <c r="C64" s="74"/>
      <c r="D64" s="74"/>
      <c r="E64" s="74"/>
      <c r="F64" s="74"/>
      <c r="G64" s="74"/>
      <c r="H64" s="74"/>
      <c r="I64" s="74"/>
      <c r="J64" s="74"/>
      <c r="K64" s="74"/>
      <c r="L64" s="74"/>
      <c r="M64" s="74"/>
    </row>
    <row r="65" spans="1:13" ht="18.75" x14ac:dyDescent="0.3">
      <c r="A65" s="74"/>
      <c r="C65" s="74"/>
      <c r="D65" s="74"/>
      <c r="E65" s="74"/>
      <c r="F65" s="74"/>
      <c r="G65" s="74"/>
      <c r="H65" s="74"/>
      <c r="I65" s="74"/>
      <c r="J65" s="74"/>
      <c r="K65" s="74"/>
      <c r="L65" s="74"/>
      <c r="M65" s="74"/>
    </row>
    <row r="66" spans="1:13" ht="18.75" x14ac:dyDescent="0.3">
      <c r="A66" s="74"/>
      <c r="B66" s="74"/>
      <c r="C66" s="74"/>
      <c r="D66" s="74"/>
      <c r="E66" s="74"/>
      <c r="F66" s="74"/>
      <c r="G66" s="74"/>
      <c r="H66" s="74"/>
      <c r="I66" s="74"/>
      <c r="J66" s="74"/>
      <c r="K66" s="74"/>
      <c r="L66" s="74"/>
      <c r="M66" s="74"/>
    </row>
    <row r="67" spans="1:13" ht="18.75" x14ac:dyDescent="0.3">
      <c r="A67" s="74"/>
      <c r="B67" s="74"/>
      <c r="C67" s="74"/>
      <c r="D67" s="74"/>
      <c r="E67" s="74"/>
      <c r="F67" s="74"/>
      <c r="G67" s="74"/>
      <c r="H67" s="74"/>
      <c r="I67" s="74"/>
      <c r="J67" s="74"/>
      <c r="K67" s="74"/>
      <c r="L67" s="74"/>
      <c r="M67" s="74"/>
    </row>
    <row r="68" spans="1:13" ht="18.75" x14ac:dyDescent="0.3">
      <c r="A68" s="74"/>
      <c r="B68" s="74"/>
      <c r="C68" s="74"/>
      <c r="D68" s="74"/>
      <c r="E68" s="74"/>
      <c r="F68" s="74"/>
      <c r="G68" s="74"/>
      <c r="H68" s="74"/>
      <c r="I68" s="74"/>
      <c r="J68" s="74"/>
      <c r="K68" s="74"/>
      <c r="L68" s="74"/>
      <c r="M68" s="74"/>
    </row>
    <row r="69" spans="1:13" ht="18.75" x14ac:dyDescent="0.3">
      <c r="A69" s="74"/>
      <c r="B69" s="74"/>
      <c r="C69" s="74"/>
      <c r="D69" s="74"/>
      <c r="E69" s="74"/>
      <c r="F69" s="74"/>
      <c r="G69" s="74"/>
      <c r="H69" s="74"/>
      <c r="I69" s="74"/>
      <c r="J69" s="74"/>
      <c r="K69" s="74"/>
      <c r="L69" s="74"/>
      <c r="M69" s="74"/>
    </row>
    <row r="70" spans="1:13" ht="18.75" x14ac:dyDescent="0.3">
      <c r="A70" s="74"/>
      <c r="B70" s="74"/>
      <c r="C70" s="74"/>
      <c r="D70" s="74"/>
      <c r="E70" s="74"/>
      <c r="F70" s="74"/>
      <c r="G70" s="74"/>
      <c r="H70" s="74"/>
      <c r="I70" s="74"/>
      <c r="J70" s="74"/>
      <c r="K70" s="74"/>
      <c r="L70" s="74"/>
      <c r="M70" s="74"/>
    </row>
    <row r="71" spans="1:13" ht="18.75" x14ac:dyDescent="0.3">
      <c r="A71" s="74"/>
      <c r="B71" s="74"/>
      <c r="C71" s="74"/>
      <c r="D71" s="74"/>
      <c r="E71" s="74"/>
      <c r="F71" s="74"/>
      <c r="G71" s="74"/>
      <c r="H71" s="74"/>
      <c r="I71" s="74"/>
      <c r="J71" s="74"/>
      <c r="K71" s="74"/>
      <c r="L71" s="74"/>
      <c r="M71" s="74"/>
    </row>
    <row r="72" spans="1:13" ht="18.75" x14ac:dyDescent="0.3">
      <c r="A72" s="74"/>
      <c r="B72" s="74"/>
      <c r="C72" s="74"/>
      <c r="D72" s="74"/>
      <c r="E72" s="74"/>
      <c r="F72" s="74"/>
      <c r="G72" s="74"/>
      <c r="H72" s="74"/>
      <c r="I72" s="74"/>
      <c r="J72" s="74"/>
      <c r="K72" s="74"/>
      <c r="L72" s="74"/>
      <c r="M72" s="74"/>
    </row>
    <row r="73" spans="1:13" ht="18.75" x14ac:dyDescent="0.3">
      <c r="A73" s="74"/>
      <c r="B73" s="74"/>
      <c r="C73" s="74"/>
      <c r="D73" s="74"/>
      <c r="E73" s="74"/>
      <c r="F73" s="74"/>
      <c r="G73" s="74"/>
      <c r="H73" s="74"/>
      <c r="I73" s="74"/>
      <c r="J73" s="74"/>
      <c r="K73" s="74"/>
      <c r="L73" s="74"/>
      <c r="M73" s="74"/>
    </row>
    <row r="74" spans="1:13" ht="18.75" x14ac:dyDescent="0.3">
      <c r="A74" s="74"/>
      <c r="B74" s="74"/>
      <c r="C74" s="74"/>
      <c r="D74" s="74"/>
      <c r="E74" s="74"/>
      <c r="F74" s="74"/>
      <c r="G74" s="74"/>
      <c r="H74" s="74"/>
      <c r="I74" s="74"/>
      <c r="J74" s="74"/>
      <c r="K74" s="74"/>
      <c r="L74" s="74"/>
      <c r="M74" s="74"/>
    </row>
    <row r="75" spans="1:13" ht="18.75" x14ac:dyDescent="0.3">
      <c r="A75" s="74"/>
      <c r="B75" s="74"/>
      <c r="C75" s="74"/>
      <c r="D75" s="74"/>
      <c r="E75" s="74"/>
      <c r="F75" s="74"/>
      <c r="G75" s="74"/>
      <c r="H75" s="74"/>
      <c r="I75" s="74"/>
      <c r="J75" s="74"/>
      <c r="K75" s="74"/>
      <c r="L75" s="74"/>
      <c r="M75" s="74"/>
    </row>
    <row r="76" spans="1:13" ht="18.75" x14ac:dyDescent="0.3">
      <c r="A76" s="74"/>
      <c r="B76" s="74"/>
      <c r="C76" s="74"/>
      <c r="D76" s="74"/>
      <c r="E76" s="74"/>
      <c r="F76" s="74"/>
      <c r="G76" s="74"/>
      <c r="H76" s="74"/>
      <c r="I76" s="74"/>
      <c r="J76" s="74"/>
      <c r="K76" s="74"/>
      <c r="L76" s="74"/>
      <c r="M76" s="74"/>
    </row>
    <row r="77" spans="1:13" ht="18.75" x14ac:dyDescent="0.3">
      <c r="A77" s="74"/>
      <c r="B77" s="74"/>
      <c r="C77" s="74"/>
      <c r="D77" s="74"/>
      <c r="E77" s="74"/>
      <c r="F77" s="74"/>
      <c r="G77" s="74"/>
      <c r="H77" s="74"/>
      <c r="I77" s="74"/>
      <c r="J77" s="74"/>
      <c r="K77" s="74"/>
      <c r="L77" s="74"/>
      <c r="M77" s="74"/>
    </row>
    <row r="78" spans="1:13" ht="18.75" x14ac:dyDescent="0.3">
      <c r="A78" s="74"/>
      <c r="B78" s="74"/>
      <c r="C78" s="74"/>
      <c r="D78" s="74"/>
      <c r="E78" s="74"/>
      <c r="F78" s="74"/>
      <c r="G78" s="74"/>
      <c r="H78" s="74"/>
      <c r="I78" s="74"/>
      <c r="J78" s="74"/>
      <c r="K78" s="74"/>
      <c r="L78" s="74"/>
      <c r="M78" s="74"/>
    </row>
    <row r="79" spans="1:13" ht="18.75" x14ac:dyDescent="0.3">
      <c r="A79" s="74"/>
      <c r="B79" s="74"/>
      <c r="C79" s="74"/>
      <c r="D79" s="74"/>
      <c r="E79" s="74"/>
      <c r="F79" s="74"/>
      <c r="G79" s="74"/>
      <c r="H79" s="74"/>
      <c r="I79" s="74"/>
      <c r="J79" s="74"/>
      <c r="K79" s="74"/>
      <c r="L79" s="74"/>
      <c r="M79" s="74"/>
    </row>
    <row r="80" spans="1:13" ht="18.75" x14ac:dyDescent="0.3">
      <c r="A80" s="74"/>
      <c r="B80" s="74"/>
      <c r="C80" s="74"/>
      <c r="D80" s="74"/>
      <c r="E80" s="74"/>
      <c r="F80" s="74"/>
      <c r="G80" s="74"/>
      <c r="H80" s="74"/>
      <c r="I80" s="74"/>
      <c r="J80" s="74"/>
      <c r="K80" s="74"/>
      <c r="L80" s="74"/>
      <c r="M80" s="74"/>
    </row>
    <row r="81" spans="1:13" ht="18.75" x14ac:dyDescent="0.3">
      <c r="A81" s="74"/>
      <c r="B81" s="74"/>
      <c r="C81" s="74"/>
      <c r="D81" s="74"/>
      <c r="E81" s="74"/>
      <c r="F81" s="74"/>
      <c r="G81" s="74"/>
      <c r="H81" s="74"/>
      <c r="I81" s="74"/>
      <c r="J81" s="74"/>
      <c r="K81" s="74"/>
      <c r="L81" s="74"/>
      <c r="M81" s="74"/>
    </row>
    <row r="82" spans="1:13" ht="18.75" x14ac:dyDescent="0.3">
      <c r="A82" s="74"/>
      <c r="B82" s="74"/>
      <c r="C82" s="74"/>
      <c r="D82" s="74"/>
      <c r="E82" s="74"/>
      <c r="F82" s="74"/>
      <c r="G82" s="74"/>
      <c r="H82" s="74"/>
      <c r="I82" s="74"/>
      <c r="J82" s="74"/>
      <c r="K82" s="74"/>
      <c r="L82" s="74"/>
      <c r="M82" s="74"/>
    </row>
    <row r="83" spans="1:13" ht="18.75" x14ac:dyDescent="0.3">
      <c r="A83" s="74"/>
      <c r="B83" s="74"/>
      <c r="C83" s="74"/>
      <c r="D83" s="74"/>
      <c r="E83" s="74"/>
      <c r="F83" s="74"/>
      <c r="G83" s="74"/>
      <c r="H83" s="74"/>
      <c r="I83" s="74"/>
      <c r="J83" s="74"/>
      <c r="K83" s="74"/>
      <c r="L83" s="74"/>
      <c r="M83" s="74"/>
    </row>
    <row r="84" spans="1:13" ht="18.75" x14ac:dyDescent="0.3">
      <c r="A84" s="74"/>
      <c r="B84" s="74"/>
      <c r="C84" s="74"/>
      <c r="D84" s="74"/>
      <c r="E84" s="74"/>
      <c r="F84" s="74"/>
      <c r="G84" s="74"/>
      <c r="H84" s="74"/>
      <c r="I84" s="74"/>
      <c r="J84" s="74"/>
      <c r="K84" s="74"/>
      <c r="L84" s="74"/>
      <c r="M84" s="74"/>
    </row>
    <row r="85" spans="1:13" ht="18.75" x14ac:dyDescent="0.3">
      <c r="A85" s="74"/>
      <c r="B85" s="74"/>
      <c r="C85" s="74"/>
      <c r="D85" s="74"/>
      <c r="E85" s="74"/>
      <c r="F85" s="74"/>
      <c r="G85" s="74"/>
      <c r="H85" s="74"/>
      <c r="I85" s="74"/>
      <c r="J85" s="74"/>
      <c r="K85" s="74"/>
      <c r="L85" s="74"/>
      <c r="M85" s="74"/>
    </row>
    <row r="86" spans="1:13" ht="18.75" x14ac:dyDescent="0.3">
      <c r="A86" s="74"/>
      <c r="B86" s="74"/>
      <c r="C86" s="74"/>
      <c r="D86" s="74"/>
      <c r="E86" s="74"/>
      <c r="F86" s="74"/>
      <c r="G86" s="74"/>
      <c r="H86" s="74"/>
      <c r="I86" s="74"/>
      <c r="J86" s="74"/>
      <c r="K86" s="74"/>
      <c r="L86" s="74"/>
      <c r="M86" s="74"/>
    </row>
    <row r="87" spans="1:13" ht="18.75" x14ac:dyDescent="0.3">
      <c r="A87" s="74"/>
      <c r="B87" s="74"/>
      <c r="C87" s="74"/>
      <c r="D87" s="74"/>
      <c r="E87" s="74"/>
      <c r="F87" s="74"/>
      <c r="G87" s="74"/>
      <c r="H87" s="74"/>
      <c r="I87" s="74"/>
      <c r="J87" s="74"/>
      <c r="K87" s="74"/>
      <c r="L87" s="74"/>
      <c r="M87" s="74"/>
    </row>
    <row r="88" spans="1:13" ht="18.75" x14ac:dyDescent="0.3">
      <c r="A88" s="74"/>
      <c r="B88" s="74"/>
      <c r="C88" s="74"/>
      <c r="D88" s="74"/>
      <c r="E88" s="74"/>
      <c r="F88" s="74"/>
      <c r="G88" s="74"/>
      <c r="H88" s="74"/>
      <c r="I88" s="74"/>
      <c r="J88" s="74"/>
      <c r="K88" s="74"/>
      <c r="L88" s="74"/>
      <c r="M88" s="74"/>
    </row>
    <row r="89" spans="1:13" ht="18.75" x14ac:dyDescent="0.3">
      <c r="A89" s="74"/>
      <c r="B89" s="74"/>
      <c r="C89" s="74"/>
      <c r="D89" s="74"/>
      <c r="E89" s="74"/>
      <c r="F89" s="74"/>
      <c r="G89" s="74"/>
      <c r="H89" s="74"/>
      <c r="I89" s="74"/>
      <c r="J89" s="74"/>
      <c r="K89" s="74"/>
      <c r="L89" s="74"/>
      <c r="M89" s="74"/>
    </row>
    <row r="90" spans="1:13" ht="18.75" x14ac:dyDescent="0.3">
      <c r="A90" s="74"/>
      <c r="B90" s="74"/>
      <c r="C90" s="74"/>
      <c r="D90" s="74"/>
      <c r="E90" s="74"/>
      <c r="F90" s="74"/>
      <c r="G90" s="74"/>
      <c r="H90" s="74"/>
      <c r="I90" s="74"/>
      <c r="J90" s="74"/>
      <c r="K90" s="74"/>
      <c r="L90" s="74"/>
      <c r="M90" s="74"/>
    </row>
    <row r="91" spans="1:13" ht="18.75" x14ac:dyDescent="0.3">
      <c r="A91" s="74"/>
      <c r="B91" s="74"/>
      <c r="C91" s="74"/>
      <c r="D91" s="74"/>
      <c r="E91" s="74"/>
      <c r="F91" s="74"/>
      <c r="G91" s="74"/>
      <c r="H91" s="74"/>
      <c r="I91" s="74"/>
      <c r="J91" s="74"/>
      <c r="K91" s="74"/>
      <c r="L91" s="74"/>
      <c r="M91" s="74"/>
    </row>
    <row r="92" spans="1:13" ht="18.75" x14ac:dyDescent="0.3">
      <c r="A92" s="74"/>
      <c r="B92" s="74"/>
      <c r="C92" s="74"/>
      <c r="D92" s="74"/>
      <c r="E92" s="74"/>
      <c r="F92" s="74"/>
      <c r="G92" s="74"/>
      <c r="H92" s="74"/>
      <c r="I92" s="74"/>
      <c r="J92" s="74"/>
      <c r="K92" s="74"/>
      <c r="L92" s="74"/>
      <c r="M92" s="74"/>
    </row>
    <row r="93" spans="1:13" ht="18.75" x14ac:dyDescent="0.3">
      <c r="A93" s="74"/>
      <c r="B93" s="74"/>
      <c r="C93" s="74"/>
      <c r="D93" s="74"/>
      <c r="E93" s="74"/>
      <c r="F93" s="74"/>
      <c r="G93" s="74"/>
      <c r="H93" s="74"/>
      <c r="I93" s="74"/>
      <c r="J93" s="74"/>
      <c r="K93" s="74"/>
      <c r="L93" s="74"/>
      <c r="M93" s="74"/>
    </row>
    <row r="94" spans="1:13" ht="18.75" x14ac:dyDescent="0.3">
      <c r="A94" s="74"/>
      <c r="B94" s="74"/>
      <c r="C94" s="74"/>
      <c r="D94" s="74"/>
      <c r="E94" s="74"/>
      <c r="F94" s="74"/>
      <c r="G94" s="74"/>
      <c r="H94" s="74"/>
      <c r="I94" s="74"/>
      <c r="J94" s="74"/>
      <c r="K94" s="74"/>
      <c r="L94" s="74"/>
      <c r="M94" s="74"/>
    </row>
    <row r="95" spans="1:13" ht="18.75" x14ac:dyDescent="0.3">
      <c r="A95" s="74"/>
      <c r="B95" s="74"/>
      <c r="C95" s="74"/>
      <c r="D95" s="74"/>
      <c r="E95" s="74"/>
      <c r="F95" s="74"/>
      <c r="G95" s="74"/>
      <c r="H95" s="74"/>
      <c r="I95" s="74"/>
      <c r="J95" s="74"/>
      <c r="K95" s="74"/>
      <c r="L95" s="74"/>
      <c r="M95" s="74"/>
    </row>
    <row r="96" spans="1:13" ht="18.75" x14ac:dyDescent="0.3">
      <c r="A96" s="74"/>
      <c r="B96" s="74"/>
      <c r="C96" s="74"/>
      <c r="D96" s="74"/>
      <c r="E96" s="74"/>
      <c r="F96" s="74"/>
      <c r="G96" s="74"/>
      <c r="H96" s="74"/>
      <c r="I96" s="74"/>
      <c r="J96" s="74"/>
      <c r="K96" s="74"/>
      <c r="L96" s="74"/>
      <c r="M96" s="74"/>
    </row>
    <row r="97" spans="1:13" ht="18.75" x14ac:dyDescent="0.3">
      <c r="A97" s="74"/>
      <c r="B97" s="74"/>
      <c r="C97" s="74"/>
      <c r="D97" s="74"/>
      <c r="E97" s="74"/>
      <c r="F97" s="74"/>
      <c r="G97" s="74"/>
      <c r="H97" s="74"/>
      <c r="I97" s="74"/>
      <c r="J97" s="74"/>
      <c r="K97" s="74"/>
      <c r="L97" s="74"/>
      <c r="M97" s="74"/>
    </row>
    <row r="98" spans="1:13" ht="18.75" x14ac:dyDescent="0.3">
      <c r="A98" s="74"/>
      <c r="B98" s="74"/>
      <c r="C98" s="74"/>
      <c r="D98" s="74"/>
      <c r="E98" s="74"/>
      <c r="F98" s="74"/>
      <c r="G98" s="74"/>
      <c r="H98" s="74"/>
      <c r="I98" s="74"/>
      <c r="J98" s="74"/>
      <c r="K98" s="74"/>
      <c r="L98" s="74"/>
      <c r="M98" s="74"/>
    </row>
    <row r="99" spans="1:13" ht="18.75" x14ac:dyDescent="0.3">
      <c r="A99" s="74"/>
      <c r="B99" s="74"/>
      <c r="C99" s="74"/>
      <c r="D99" s="74"/>
      <c r="E99" s="74"/>
      <c r="F99" s="74"/>
      <c r="G99" s="74"/>
      <c r="H99" s="74"/>
      <c r="I99" s="74"/>
      <c r="J99" s="74"/>
      <c r="K99" s="74"/>
      <c r="L99" s="74"/>
      <c r="M99" s="74"/>
    </row>
    <row r="100" spans="1:13" ht="18.75" x14ac:dyDescent="0.3">
      <c r="A100" s="74"/>
      <c r="B100" s="74"/>
      <c r="C100" s="74"/>
      <c r="D100" s="74"/>
      <c r="E100" s="74"/>
      <c r="F100" s="74"/>
      <c r="G100" s="74"/>
      <c r="H100" s="74"/>
      <c r="I100" s="74"/>
      <c r="J100" s="74"/>
      <c r="K100" s="74"/>
      <c r="L100" s="74"/>
      <c r="M100" s="74"/>
    </row>
    <row r="101" spans="1:13" ht="18.75" x14ac:dyDescent="0.3">
      <c r="A101" s="74"/>
      <c r="B101" s="74"/>
      <c r="C101" s="74"/>
      <c r="D101" s="74"/>
      <c r="E101" s="74"/>
      <c r="F101" s="74"/>
      <c r="G101" s="74"/>
      <c r="H101" s="74"/>
      <c r="I101" s="74"/>
      <c r="J101" s="74"/>
      <c r="K101" s="74"/>
      <c r="L101" s="74"/>
      <c r="M101" s="74"/>
    </row>
    <row r="102" spans="1:13" ht="18.75" x14ac:dyDescent="0.3">
      <c r="A102" s="74"/>
      <c r="B102" s="74"/>
      <c r="C102" s="74"/>
      <c r="D102" s="74"/>
      <c r="E102" s="74"/>
      <c r="F102" s="74"/>
      <c r="G102" s="74"/>
      <c r="H102" s="74"/>
      <c r="I102" s="74"/>
      <c r="J102" s="74"/>
      <c r="K102" s="74"/>
      <c r="L102" s="74"/>
      <c r="M102" s="74"/>
    </row>
    <row r="103" spans="1:13" ht="18.75" x14ac:dyDescent="0.3">
      <c r="A103" s="74"/>
      <c r="B103" s="74"/>
      <c r="C103" s="74"/>
      <c r="D103" s="74"/>
      <c r="E103" s="74"/>
      <c r="F103" s="74"/>
      <c r="G103" s="74"/>
      <c r="H103" s="74"/>
      <c r="I103" s="74"/>
      <c r="J103" s="74"/>
      <c r="K103" s="74"/>
      <c r="L103" s="74"/>
      <c r="M103" s="74"/>
    </row>
    <row r="104" spans="1:13" ht="18.75" x14ac:dyDescent="0.3">
      <c r="A104" s="74"/>
      <c r="B104" s="74"/>
      <c r="C104" s="74"/>
      <c r="D104" s="74"/>
      <c r="E104" s="74"/>
      <c r="F104" s="74"/>
      <c r="G104" s="74"/>
      <c r="H104" s="74"/>
      <c r="I104" s="74"/>
      <c r="J104" s="74"/>
      <c r="K104" s="74"/>
      <c r="L104" s="74"/>
      <c r="M104" s="74"/>
    </row>
    <row r="105" spans="1:13" ht="18.75" x14ac:dyDescent="0.3">
      <c r="A105" s="74"/>
      <c r="B105" s="74"/>
      <c r="C105" s="74"/>
      <c r="D105" s="74"/>
      <c r="E105" s="74"/>
      <c r="F105" s="74"/>
      <c r="G105" s="74"/>
      <c r="H105" s="74"/>
      <c r="I105" s="74"/>
      <c r="J105" s="74"/>
      <c r="K105" s="74"/>
      <c r="L105" s="74"/>
      <c r="M105" s="74"/>
    </row>
    <row r="106" spans="1:13" ht="18.75" x14ac:dyDescent="0.3">
      <c r="A106" s="74"/>
      <c r="B106" s="74"/>
      <c r="C106" s="74"/>
      <c r="D106" s="74"/>
      <c r="E106" s="74"/>
      <c r="F106" s="74"/>
      <c r="G106" s="74"/>
      <c r="H106" s="74"/>
      <c r="I106" s="74"/>
      <c r="J106" s="74"/>
      <c r="K106" s="74"/>
      <c r="L106" s="74"/>
      <c r="M106" s="74"/>
    </row>
    <row r="107" spans="1:13" ht="18.75" x14ac:dyDescent="0.3">
      <c r="A107" s="74"/>
      <c r="B107" s="74"/>
      <c r="C107" s="74"/>
      <c r="D107" s="74"/>
      <c r="E107" s="74"/>
      <c r="F107" s="74"/>
      <c r="G107" s="74"/>
      <c r="H107" s="74"/>
      <c r="I107" s="74"/>
      <c r="J107" s="74"/>
      <c r="K107" s="74"/>
      <c r="L107" s="74"/>
      <c r="M107" s="74"/>
    </row>
    <row r="108" spans="1:13" ht="18.75" x14ac:dyDescent="0.3">
      <c r="A108" s="74"/>
      <c r="B108" s="74"/>
      <c r="C108" s="74"/>
      <c r="D108" s="74"/>
      <c r="E108" s="74"/>
      <c r="F108" s="74"/>
      <c r="G108" s="74"/>
      <c r="H108" s="74"/>
      <c r="I108" s="74"/>
      <c r="J108" s="74"/>
      <c r="K108" s="74"/>
      <c r="L108" s="74"/>
      <c r="M108" s="74"/>
    </row>
    <row r="109" spans="1:13" ht="18.75" x14ac:dyDescent="0.3">
      <c r="A109" s="74"/>
      <c r="B109" s="74"/>
      <c r="C109" s="74"/>
      <c r="D109" s="74"/>
      <c r="E109" s="74"/>
      <c r="F109" s="74"/>
      <c r="G109" s="74"/>
      <c r="H109" s="74"/>
      <c r="I109" s="74"/>
      <c r="J109" s="74"/>
      <c r="K109" s="74"/>
      <c r="L109" s="74"/>
      <c r="M109" s="74"/>
    </row>
    <row r="110" spans="1:13" ht="18.75" x14ac:dyDescent="0.3">
      <c r="A110" s="74"/>
      <c r="B110" s="74"/>
      <c r="C110" s="74"/>
      <c r="D110" s="74"/>
      <c r="E110" s="74"/>
      <c r="F110" s="74"/>
      <c r="G110" s="74"/>
      <c r="H110" s="74"/>
      <c r="I110" s="74"/>
      <c r="J110" s="74"/>
      <c r="K110" s="74"/>
      <c r="L110" s="74"/>
      <c r="M110" s="74"/>
    </row>
    <row r="111" spans="1:13" ht="18.75" x14ac:dyDescent="0.3">
      <c r="A111" s="74"/>
      <c r="B111" s="74"/>
      <c r="C111" s="74"/>
      <c r="D111" s="74"/>
      <c r="E111" s="74"/>
      <c r="F111" s="74"/>
      <c r="G111" s="74"/>
      <c r="H111" s="74"/>
      <c r="I111" s="74"/>
      <c r="J111" s="74"/>
      <c r="K111" s="74"/>
      <c r="L111" s="74"/>
      <c r="M111" s="74"/>
    </row>
    <row r="112" spans="1:13" ht="18.75" x14ac:dyDescent="0.3">
      <c r="A112" s="74"/>
      <c r="B112" s="74"/>
      <c r="C112" s="74"/>
      <c r="D112" s="74"/>
      <c r="E112" s="74"/>
      <c r="F112" s="74"/>
      <c r="G112" s="74"/>
      <c r="H112" s="74"/>
      <c r="I112" s="74"/>
      <c r="J112" s="74"/>
      <c r="K112" s="74"/>
      <c r="L112" s="74"/>
      <c r="M112" s="74"/>
    </row>
    <row r="113" spans="1:13" ht="18.75" x14ac:dyDescent="0.3">
      <c r="A113" s="74"/>
      <c r="B113" s="74"/>
      <c r="C113" s="74"/>
      <c r="D113" s="74"/>
      <c r="E113" s="74"/>
      <c r="F113" s="74"/>
      <c r="G113" s="74"/>
      <c r="H113" s="74"/>
      <c r="I113" s="74"/>
      <c r="J113" s="74"/>
      <c r="K113" s="74"/>
      <c r="L113" s="74"/>
      <c r="M113" s="74"/>
    </row>
    <row r="114" spans="1:13" ht="18.75" x14ac:dyDescent="0.3">
      <c r="A114" s="74"/>
      <c r="B114" s="74"/>
      <c r="C114" s="74"/>
      <c r="D114" s="74"/>
      <c r="E114" s="74"/>
      <c r="F114" s="74"/>
      <c r="G114" s="74"/>
      <c r="H114" s="74"/>
      <c r="I114" s="74"/>
      <c r="J114" s="74"/>
      <c r="K114" s="74"/>
      <c r="L114" s="74"/>
      <c r="M114" s="74"/>
    </row>
    <row r="115" spans="1:13" ht="18.75" x14ac:dyDescent="0.3">
      <c r="A115" s="74"/>
      <c r="B115" s="74"/>
      <c r="C115" s="74"/>
      <c r="D115" s="74"/>
      <c r="E115" s="74"/>
      <c r="F115" s="74"/>
      <c r="G115" s="74"/>
      <c r="H115" s="74"/>
      <c r="I115" s="74"/>
      <c r="J115" s="74"/>
      <c r="K115" s="74"/>
      <c r="L115" s="74"/>
      <c r="M115" s="74"/>
    </row>
  </sheetData>
  <mergeCells count="3">
    <mergeCell ref="B5:D5"/>
    <mergeCell ref="F5:H5"/>
    <mergeCell ref="J5:L5"/>
  </mergeCells>
  <hyperlinks>
    <hyperlink ref="B1" location="Innhold!A1" display="Tilbake" xr:uid="{00000000-0004-0000-0400-000000000000}"/>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dimension ref="A1:J92"/>
  <sheetViews>
    <sheetView showGridLines="0" zoomScale="90" zoomScaleNormal="90" workbookViewId="0">
      <pane xSplit="1" ySplit="7" topLeftCell="B8" activePane="bottomRight" state="frozen"/>
      <selection pane="topRight" activeCell="B1" sqref="B1"/>
      <selection pane="bottomLeft" activeCell="A8" sqref="A8"/>
      <selection pane="bottomRight" activeCell="A5" sqref="A5"/>
    </sheetView>
  </sheetViews>
  <sheetFormatPr baseColWidth="10" defaultColWidth="11.42578125" defaultRowHeight="18" x14ac:dyDescent="0.25"/>
  <cols>
    <col min="1" max="1" width="35.85546875" style="81" customWidth="1"/>
    <col min="2" max="2" width="18.140625" style="81" customWidth="1"/>
    <col min="3" max="3" width="17.85546875" style="81" customWidth="1"/>
    <col min="4" max="4" width="11.7109375" style="81" customWidth="1"/>
    <col min="5" max="5" width="4.7109375" style="81" customWidth="1"/>
    <col min="6" max="7" width="13" style="81" customWidth="1"/>
    <col min="8" max="8" width="11.7109375" style="81" customWidth="1"/>
    <col min="9" max="9" width="12.42578125" style="81" customWidth="1"/>
    <col min="10" max="10" width="11.42578125" style="81"/>
    <col min="11" max="12" width="17.140625" style="81" bestFit="1" customWidth="1"/>
    <col min="13" max="16384" width="11.42578125" style="81"/>
  </cols>
  <sheetData>
    <row r="1" spans="1:10" ht="18.75" customHeight="1" x14ac:dyDescent="0.3">
      <c r="A1" s="80" t="s">
        <v>79</v>
      </c>
      <c r="B1" s="73" t="s">
        <v>52</v>
      </c>
      <c r="C1" s="80"/>
      <c r="D1" s="80"/>
      <c r="E1" s="80"/>
      <c r="F1" s="74"/>
      <c r="G1" s="74"/>
      <c r="H1" s="74"/>
      <c r="I1" s="74"/>
      <c r="J1" s="74"/>
    </row>
    <row r="2" spans="1:10" ht="20.100000000000001" customHeight="1" x14ac:dyDescent="0.3">
      <c r="A2" s="80" t="s">
        <v>163</v>
      </c>
      <c r="B2" s="80"/>
      <c r="C2" s="80"/>
      <c r="D2" s="80"/>
      <c r="E2" s="80"/>
      <c r="F2" s="74"/>
      <c r="G2" s="74"/>
      <c r="H2" s="74"/>
      <c r="I2" s="74"/>
      <c r="J2" s="74"/>
    </row>
    <row r="3" spans="1:10" ht="20.100000000000001" customHeight="1" x14ac:dyDescent="0.3">
      <c r="A3" s="75"/>
      <c r="B3" s="75"/>
      <c r="C3" s="75"/>
      <c r="D3" s="75"/>
      <c r="E3" s="254"/>
      <c r="F3" s="74"/>
      <c r="G3" s="74"/>
      <c r="H3" s="74"/>
      <c r="I3" s="74"/>
      <c r="J3" s="74"/>
    </row>
    <row r="4" spans="1:10" ht="20.100000000000001" customHeight="1" x14ac:dyDescent="0.3">
      <c r="A4" s="255"/>
      <c r="B4" s="681" t="s">
        <v>164</v>
      </c>
      <c r="C4" s="681"/>
      <c r="D4" s="682"/>
      <c r="E4" s="89"/>
      <c r="F4" s="683" t="s">
        <v>164</v>
      </c>
      <c r="G4" s="681"/>
      <c r="H4" s="682"/>
      <c r="I4" s="74"/>
      <c r="J4" s="74"/>
    </row>
    <row r="5" spans="1:10" ht="18.75" customHeight="1" x14ac:dyDescent="0.3">
      <c r="A5" s="256" t="s">
        <v>414</v>
      </c>
      <c r="B5" s="684" t="s">
        <v>165</v>
      </c>
      <c r="C5" s="685"/>
      <c r="D5" s="686"/>
      <c r="E5" s="257"/>
      <c r="F5" s="687" t="s">
        <v>166</v>
      </c>
      <c r="G5" s="688"/>
      <c r="H5" s="689"/>
      <c r="I5" s="112"/>
      <c r="J5" s="74"/>
    </row>
    <row r="6" spans="1:10" ht="18.75" customHeight="1" x14ac:dyDescent="0.3">
      <c r="A6" s="122"/>
      <c r="B6" s="120"/>
      <c r="C6" s="191"/>
      <c r="D6" s="258" t="s">
        <v>83</v>
      </c>
      <c r="E6" s="258"/>
      <c r="F6" s="123"/>
      <c r="G6" s="124"/>
      <c r="H6" s="94" t="s">
        <v>83</v>
      </c>
      <c r="I6" s="100"/>
      <c r="J6" s="74"/>
    </row>
    <row r="7" spans="1:10" ht="18.75" customHeight="1" x14ac:dyDescent="0.3">
      <c r="A7" s="126"/>
      <c r="B7" s="97">
        <v>2018</v>
      </c>
      <c r="C7" s="97">
        <v>2019</v>
      </c>
      <c r="D7" s="259" t="s">
        <v>85</v>
      </c>
      <c r="E7" s="258"/>
      <c r="F7" s="97">
        <v>2018</v>
      </c>
      <c r="G7" s="127">
        <v>2019</v>
      </c>
      <c r="H7" s="260" t="s">
        <v>85</v>
      </c>
      <c r="I7" s="100"/>
      <c r="J7" s="74"/>
    </row>
    <row r="8" spans="1:10" ht="18.75" customHeight="1" x14ac:dyDescent="0.3">
      <c r="A8" s="101" t="s">
        <v>167</v>
      </c>
      <c r="B8" s="109">
        <f>SUM(B9:B14)</f>
        <v>144883.7365237</v>
      </c>
      <c r="C8" s="109">
        <f>SUM(C9:C14)</f>
        <v>153164.77395040001</v>
      </c>
      <c r="D8" s="261">
        <f t="shared" ref="D8:D38" si="0">IF(B8=0, "    ---- ", IF(ABS(ROUND(100/B8*C8-100,1))&lt;999,ROUND(100/B8*C8-100,1),IF(ROUND(100/B8*C8-100,1)&gt;999,999,-999)))</f>
        <v>5.7</v>
      </c>
      <c r="E8" s="262"/>
      <c r="F8" s="261">
        <f>SUM(F9:F14)</f>
        <v>100.00000069020858</v>
      </c>
      <c r="G8" s="261">
        <f>SUM(G9:G14)</f>
        <v>99.999999999999986</v>
      </c>
      <c r="H8" s="262">
        <f t="shared" ref="H8:H38" si="1">IF(F8=0, "    ---- ", IF(ABS(ROUND(100/F8*G8-100,1))&lt;999,ROUND(100/F8*G8-100,1),IF(ROUND(100/F8*G8-100,1)&gt;999,999,-999)))</f>
        <v>0</v>
      </c>
      <c r="I8" s="104"/>
      <c r="J8" s="74"/>
    </row>
    <row r="9" spans="1:10" ht="18.75" customHeight="1" x14ac:dyDescent="0.3">
      <c r="A9" s="86" t="s">
        <v>168</v>
      </c>
      <c r="B9" s="106">
        <f>'Tabell 6'!AO21</f>
        <v>3443.4375999999997</v>
      </c>
      <c r="C9" s="106">
        <f>'Tabell 6'!AP21</f>
        <v>2367.6670143000001</v>
      </c>
      <c r="D9" s="263">
        <f t="shared" si="0"/>
        <v>-31.2</v>
      </c>
      <c r="E9" s="263"/>
      <c r="F9" s="263">
        <f>'Tabell 6'!AO21/'Tabell 6'!AO29*100</f>
        <v>2.3766902389376368</v>
      </c>
      <c r="G9" s="263">
        <f>'Tabell 6'!AP21/'Tabell 6'!AP29*100</f>
        <v>1.5458299929112498</v>
      </c>
      <c r="H9" s="264">
        <f t="shared" si="1"/>
        <v>-35</v>
      </c>
      <c r="I9" s="104"/>
      <c r="J9" s="77"/>
    </row>
    <row r="10" spans="1:10" ht="18.75" customHeight="1" x14ac:dyDescent="0.3">
      <c r="A10" s="86" t="s">
        <v>169</v>
      </c>
      <c r="B10" s="105">
        <f>'Tabell 6'!AO18+'Tabell 6'!AO22</f>
        <v>74466.093961439998</v>
      </c>
      <c r="C10" s="105">
        <f>'Tabell 6'!AP18+'Tabell 6'!AP22</f>
        <v>70811.764030759994</v>
      </c>
      <c r="D10" s="263">
        <f t="shared" si="0"/>
        <v>-4.9000000000000004</v>
      </c>
      <c r="E10" s="263"/>
      <c r="F10" s="263">
        <f>('Tabell 6'!AO18+'Tabell 6'!AO22)/'Tabell 6'!AO29*100</f>
        <v>51.397138327689561</v>
      </c>
      <c r="G10" s="263">
        <f>('Tabell 6'!AP18+'Tabell 6'!AP22)/'Tabell 6'!AP29*100</f>
        <v>46.232408539114395</v>
      </c>
      <c r="H10" s="264">
        <f t="shared" si="1"/>
        <v>-10</v>
      </c>
      <c r="I10" s="104"/>
      <c r="J10" s="74"/>
    </row>
    <row r="11" spans="1:10" ht="18.75" customHeight="1" x14ac:dyDescent="0.3">
      <c r="A11" s="86" t="s">
        <v>170</v>
      </c>
      <c r="B11" s="105">
        <f>'Tabell 6'!AO14</f>
        <v>865.21881774999997</v>
      </c>
      <c r="C11" s="105">
        <f>'Tabell 6'!AP14</f>
        <v>984.2618487499999</v>
      </c>
      <c r="D11" s="263">
        <f t="shared" si="0"/>
        <v>13.8</v>
      </c>
      <c r="E11" s="263"/>
      <c r="F11" s="263">
        <f>'Tabell 6'!AO14/'Tabell 6'!AO29*100</f>
        <v>0.59718146734867128</v>
      </c>
      <c r="G11" s="263">
        <f>'Tabell 6'!AP14/'Tabell 6'!AP29*100</f>
        <v>0.6426163296978048</v>
      </c>
      <c r="H11" s="264">
        <f t="shared" si="1"/>
        <v>7.6</v>
      </c>
      <c r="I11" s="104"/>
      <c r="J11" s="74"/>
    </row>
    <row r="12" spans="1:10" ht="18.75" customHeight="1" x14ac:dyDescent="0.3">
      <c r="A12" s="108" t="s">
        <v>171</v>
      </c>
      <c r="B12" s="105">
        <f>'Tabell 6'!AO15</f>
        <v>21395.92740072</v>
      </c>
      <c r="C12" s="105">
        <f>'Tabell 6'!AP15</f>
        <v>25287.697205820001</v>
      </c>
      <c r="D12" s="265">
        <f t="shared" si="0"/>
        <v>18.2</v>
      </c>
      <c r="E12" s="265"/>
      <c r="F12" s="263">
        <f>'Tabell 6'!AO15/'Tabell 6'!AO29*100</f>
        <v>14.767653058765912</v>
      </c>
      <c r="G12" s="263">
        <f>'Tabell 6'!AP15/'Tabell 6'!AP29*100</f>
        <v>16.510126025458717</v>
      </c>
      <c r="H12" s="264">
        <f t="shared" si="1"/>
        <v>11.8</v>
      </c>
      <c r="I12" s="104"/>
      <c r="J12" s="74"/>
    </row>
    <row r="13" spans="1:10" ht="18.75" customHeight="1" x14ac:dyDescent="0.3">
      <c r="A13" s="86" t="s">
        <v>172</v>
      </c>
      <c r="B13" s="105">
        <f>'Tabell 6'!AO19+'Tabell 6'!AO23</f>
        <v>22698.146423439997</v>
      </c>
      <c r="C13" s="105">
        <f>'Tabell 6'!AP19+'Tabell 6'!AP23</f>
        <v>28964.102573119999</v>
      </c>
      <c r="D13" s="263">
        <f t="shared" si="0"/>
        <v>27.6</v>
      </c>
      <c r="E13" s="263"/>
      <c r="F13" s="263">
        <f>('Tabell 6'!AO19+'Tabell 6'!AO23)/'Tabell 6'!AO29*100</f>
        <v>15.666455825006697</v>
      </c>
      <c r="G13" s="263">
        <f>('Tabell 6'!AP19+'Tabell 6'!AP23)/'Tabell 6'!AP29*100</f>
        <v>18.910420344105734</v>
      </c>
      <c r="H13" s="264">
        <f t="shared" si="1"/>
        <v>20.7</v>
      </c>
      <c r="I13" s="104"/>
      <c r="J13" s="74"/>
    </row>
    <row r="14" spans="1:10" ht="18.75" customHeight="1" x14ac:dyDescent="0.3">
      <c r="A14" s="86" t="s">
        <v>173</v>
      </c>
      <c r="B14" s="176">
        <f>'Tabell 6'!AO17-'Tabell 6'!AO18+'Tabell 6'!AO24+'Tabell 6'!AO25+'Tabell 6'!AO26+'Tabell 6'!AO28</f>
        <v>22014.912320350006</v>
      </c>
      <c r="C14" s="176">
        <f>'Tabell 6'!AP17-'Tabell 6'!AP18+'Tabell 6'!AP24+'Tabell 6'!AP25+'Tabell 6'!AP26+'Tabell 6'!AP28</f>
        <v>24749.281277650003</v>
      </c>
      <c r="D14" s="263">
        <f t="shared" si="0"/>
        <v>12.4</v>
      </c>
      <c r="E14" s="263"/>
      <c r="F14" s="263">
        <f>('Tabell 6'!AO17-'Tabell 6'!AO18+'Tabell 6'!AO24+'Tabell 6'!AO25+'Tabell 6'!AO26+'Tabell 6'!AO28)/'Tabell 6'!AO29*100</f>
        <v>15.194881772460109</v>
      </c>
      <c r="G14" s="263">
        <f>('Tabell 6'!AP17-'Tabell 6'!AP18+'Tabell 6'!AP24+'Tabell 6'!AP25+'Tabell 6'!AP26+'Tabell 6'!AP28)/'Tabell 6'!AP29*100</f>
        <v>16.1585987687121</v>
      </c>
      <c r="H14" s="264">
        <f t="shared" si="1"/>
        <v>6.3</v>
      </c>
      <c r="I14" s="104"/>
      <c r="J14" s="74"/>
    </row>
    <row r="15" spans="1:10" ht="18.75" customHeight="1" x14ac:dyDescent="0.3">
      <c r="A15" s="192"/>
      <c r="B15" s="103"/>
      <c r="C15" s="176"/>
      <c r="D15" s="264"/>
      <c r="E15" s="264"/>
      <c r="F15" s="264"/>
      <c r="G15" s="263"/>
      <c r="H15" s="264"/>
      <c r="I15" s="104"/>
      <c r="J15" s="74"/>
    </row>
    <row r="16" spans="1:10" s="135" customFormat="1" ht="18.75" customHeight="1" x14ac:dyDescent="0.3">
      <c r="A16" s="101" t="s">
        <v>174</v>
      </c>
      <c r="B16" s="109">
        <f>SUM(B17:B22)</f>
        <v>1066215.9785269599</v>
      </c>
      <c r="C16" s="109">
        <f>SUM(C17:C22)</f>
        <v>1118435.0050663701</v>
      </c>
      <c r="D16" s="261">
        <f t="shared" si="0"/>
        <v>4.9000000000000004</v>
      </c>
      <c r="E16" s="261"/>
      <c r="F16" s="261">
        <f>SUM(F17:F22)</f>
        <v>100.00000009378964</v>
      </c>
      <c r="G16" s="261">
        <f>SUM(G17:G22)</f>
        <v>99.999999910589381</v>
      </c>
      <c r="H16" s="262">
        <f t="shared" si="1"/>
        <v>0</v>
      </c>
      <c r="I16" s="110"/>
      <c r="J16" s="75"/>
    </row>
    <row r="17" spans="1:10" ht="18.75" customHeight="1" x14ac:dyDescent="0.3">
      <c r="A17" s="86" t="s">
        <v>168</v>
      </c>
      <c r="B17" s="103">
        <f>'Tabell 6'!AO40</f>
        <v>184390.95083315001</v>
      </c>
      <c r="C17" s="103">
        <f>'Tabell 6'!AP40</f>
        <v>191592.89083711998</v>
      </c>
      <c r="D17" s="263">
        <f t="shared" si="0"/>
        <v>3.9</v>
      </c>
      <c r="E17" s="263"/>
      <c r="F17" s="263">
        <f>'Tabell 6'!AO40/('Tabell 6'!AO45+'Tabell 6'!AO46)*100</f>
        <v>17.293958702516964</v>
      </c>
      <c r="G17" s="263">
        <f>'Tabell 6'!AP40/('Tabell 6'!AP45+'Tabell 6'!AP46)*100</f>
        <v>17.130444755209183</v>
      </c>
      <c r="H17" s="264">
        <f t="shared" si="1"/>
        <v>-0.9</v>
      </c>
      <c r="I17" s="104"/>
      <c r="J17" s="74"/>
    </row>
    <row r="18" spans="1:10" ht="18.75" customHeight="1" x14ac:dyDescent="0.3">
      <c r="A18" s="86" t="s">
        <v>169</v>
      </c>
      <c r="B18" s="103">
        <f>'Tabell 6'!AO37+'Tabell 6'!AO41</f>
        <v>354414.55113579001</v>
      </c>
      <c r="C18" s="103">
        <f>'Tabell 6'!AP37+'Tabell 6'!AP41</f>
        <v>344887.74135009001</v>
      </c>
      <c r="D18" s="263">
        <f t="shared" si="0"/>
        <v>-2.7</v>
      </c>
      <c r="E18" s="263"/>
      <c r="F18" s="263">
        <f>('Tabell 6'!AO37+'Tabell 6'!AO41)/('Tabell 6'!AO45+'Tabell 6'!AO46)*100</f>
        <v>33.240408942083072</v>
      </c>
      <c r="G18" s="263">
        <f>('Tabell 6'!AP37+'Tabell 6'!AP41)/('Tabell 6'!AP45+'Tabell 6'!AP46)*100</f>
        <v>30.836636861277196</v>
      </c>
      <c r="H18" s="264">
        <f t="shared" si="1"/>
        <v>-7.2</v>
      </c>
      <c r="I18" s="104"/>
      <c r="J18" s="74"/>
    </row>
    <row r="19" spans="1:10" ht="18.75" customHeight="1" x14ac:dyDescent="0.3">
      <c r="A19" s="86" t="s">
        <v>170</v>
      </c>
      <c r="B19" s="103">
        <f>'Tabell 6'!AO33</f>
        <v>34.484000000000002</v>
      </c>
      <c r="C19" s="103">
        <f>'Tabell 6'!AP33</f>
        <v>26.20617468</v>
      </c>
      <c r="D19" s="263">
        <f t="shared" si="0"/>
        <v>-24</v>
      </c>
      <c r="E19" s="263"/>
      <c r="F19" s="263">
        <f>'Tabell 6'!AO33/('Tabell 6'!AO45+'Tabell 6'!AO46)*100</f>
        <v>3.2342415351891548E-3</v>
      </c>
      <c r="G19" s="263">
        <f>'Tabell 6'!AP33/('Tabell 6'!AP45+'Tabell 6'!AP46)*100</f>
        <v>2.3431110916466505E-3</v>
      </c>
      <c r="H19" s="264">
        <f t="shared" si="1"/>
        <v>-27.6</v>
      </c>
      <c r="I19" s="104"/>
      <c r="J19" s="74"/>
    </row>
    <row r="20" spans="1:10" ht="18.75" customHeight="1" x14ac:dyDescent="0.3">
      <c r="A20" s="108" t="s">
        <v>171</v>
      </c>
      <c r="B20" s="105">
        <f>'Tabell 6'!AO34</f>
        <v>126713.86381332</v>
      </c>
      <c r="C20" s="105">
        <f>'Tabell 6'!AP34</f>
        <v>148466.97956879</v>
      </c>
      <c r="D20" s="265">
        <f t="shared" si="0"/>
        <v>17.2</v>
      </c>
      <c r="E20" s="265"/>
      <c r="F20" s="263">
        <f>'Tabell 6'!AO34/('Tabell 6'!AO45+'Tabell 6'!AO46)*100</f>
        <v>11.884446161389093</v>
      </c>
      <c r="G20" s="263">
        <f>'Tabell 6'!AP34/('Tabell 6'!AP45+'Tabell 6'!AP46)*100</f>
        <v>13.274529030610449</v>
      </c>
      <c r="H20" s="264">
        <f t="shared" si="1"/>
        <v>11.7</v>
      </c>
      <c r="I20" s="104"/>
      <c r="J20" s="74"/>
    </row>
    <row r="21" spans="1:10" ht="18.75" customHeight="1" x14ac:dyDescent="0.3">
      <c r="A21" s="86" t="s">
        <v>172</v>
      </c>
      <c r="B21" s="103">
        <f>'Tabell 6'!AO38+'Tabell 6'!AO42</f>
        <v>391611.35890688992</v>
      </c>
      <c r="C21" s="103">
        <f>'Tabell 6'!AP38+'Tabell 6'!AP42</f>
        <v>421830.57012293994</v>
      </c>
      <c r="D21" s="263">
        <f t="shared" si="0"/>
        <v>7.7</v>
      </c>
      <c r="E21" s="263"/>
      <c r="F21" s="263">
        <f>('Tabell 6'!AO38+'Tabell 6'!AO42)/('Tabell 6'!AO45+'Tabell 6'!AO46)*100</f>
        <v>36.729083709213853</v>
      </c>
      <c r="G21" s="263">
        <f>('Tabell 6'!AP38+'Tabell 6'!AP42)/('Tabell 6'!AP45+'Tabell 6'!AP46)*100</f>
        <v>37.716145134490525</v>
      </c>
      <c r="H21" s="264">
        <f t="shared" si="1"/>
        <v>2.7</v>
      </c>
      <c r="I21" s="104"/>
      <c r="J21" s="74"/>
    </row>
    <row r="22" spans="1:10" ht="18.75" customHeight="1" x14ac:dyDescent="0.3">
      <c r="A22" s="192" t="s">
        <v>173</v>
      </c>
      <c r="B22" s="103">
        <f>'Tabell 6'!AO36-'Tabell 6'!AO37+'Tabell 6'!AO43+'Tabell 6'!AO44+'Tabell 6'!AO46</f>
        <v>9050.7698378099922</v>
      </c>
      <c r="C22" s="103">
        <f>'Tabell 6'!AP36-'Tabell 6'!AP37+'Tabell 6'!AP43+'Tabell 6'!AP44+'Tabell 6'!AP46</f>
        <v>11630.61701275001</v>
      </c>
      <c r="D22" s="263">
        <f t="shared" si="0"/>
        <v>28.5</v>
      </c>
      <c r="E22" s="263"/>
      <c r="F22" s="264">
        <f>('Tabell 6'!AO36-'Tabell 6'!AO37+'Tabell 6'!AO43+'Tabell 6'!AO44+'Tabell 6'!AO46)/('Tabell 6'!AO45+'Tabell 6'!AO46)*100</f>
        <v>0.84886833705145237</v>
      </c>
      <c r="G22" s="264">
        <f>('Tabell 6'!AP36-'Tabell 6'!AP37+'Tabell 6'!AP43+'Tabell 6'!AP44+'Tabell 6'!AP46)/('Tabell 6'!AP45+'Tabell 6'!AP46)*100</f>
        <v>1.0399010179103629</v>
      </c>
      <c r="H22" s="264">
        <f t="shared" si="1"/>
        <v>22.5</v>
      </c>
      <c r="I22" s="104"/>
      <c r="J22" s="74"/>
    </row>
    <row r="23" spans="1:10" ht="18.75" customHeight="1" x14ac:dyDescent="0.3">
      <c r="A23" s="86"/>
      <c r="B23" s="176"/>
      <c r="C23" s="176"/>
      <c r="D23" s="264"/>
      <c r="E23" s="263"/>
      <c r="F23" s="263"/>
      <c r="G23" s="264"/>
      <c r="H23" s="264"/>
      <c r="I23" s="181"/>
      <c r="J23" s="74"/>
    </row>
    <row r="24" spans="1:10" ht="18.75" customHeight="1" x14ac:dyDescent="0.3">
      <c r="A24" s="137" t="s">
        <v>175</v>
      </c>
      <c r="B24" s="109">
        <f>SUM(B25:B30)</f>
        <v>313077.95689893997</v>
      </c>
      <c r="C24" s="109">
        <f>SUM(C25:C30)</f>
        <v>353648.52102226991</v>
      </c>
      <c r="D24" s="261">
        <f t="shared" si="0"/>
        <v>13</v>
      </c>
      <c r="E24" s="261"/>
      <c r="F24" s="262">
        <f>SUM(F25:F30)</f>
        <v>99.999999680590733</v>
      </c>
      <c r="G24" s="262">
        <f>SUM(G25:G30)</f>
        <v>100</v>
      </c>
      <c r="H24" s="264">
        <f t="shared" si="1"/>
        <v>0</v>
      </c>
      <c r="I24" s="181"/>
      <c r="J24" s="74"/>
    </row>
    <row r="25" spans="1:10" ht="18.75" customHeight="1" x14ac:dyDescent="0.3">
      <c r="A25" s="192" t="s">
        <v>168</v>
      </c>
      <c r="B25" s="103">
        <f>'Tabell 6'!AO55</f>
        <v>214500.96349592999</v>
      </c>
      <c r="C25" s="103">
        <f>'Tabell 6'!AP55</f>
        <v>196348.22012952989</v>
      </c>
      <c r="D25" s="263">
        <f t="shared" si="0"/>
        <v>-8.5</v>
      </c>
      <c r="E25" s="263"/>
      <c r="F25" s="263">
        <f>'Tabell 6'!AO55/('Tabell 6'!AO60+'Tabell 6'!AO61)*100</f>
        <v>68.51359480413177</v>
      </c>
      <c r="G25" s="263">
        <f>'Tabell 6'!AP55/('Tabell 6'!AP60+'Tabell 6'!AP61)*100</f>
        <v>55.520724238279925</v>
      </c>
      <c r="H25" s="264">
        <f t="shared" si="1"/>
        <v>-19</v>
      </c>
      <c r="I25" s="181"/>
      <c r="J25" s="74"/>
    </row>
    <row r="26" spans="1:10" ht="18.75" customHeight="1" x14ac:dyDescent="0.3">
      <c r="A26" s="192" t="s">
        <v>169</v>
      </c>
      <c r="B26" s="103">
        <f>'Tabell 6'!AO52+'Tabell 6'!AO56</f>
        <v>89312.316517579995</v>
      </c>
      <c r="C26" s="103">
        <f>'Tabell 6'!AP52+'Tabell 6'!AP56</f>
        <v>131736.07536674</v>
      </c>
      <c r="D26" s="263">
        <f t="shared" si="0"/>
        <v>47.5</v>
      </c>
      <c r="E26" s="263"/>
      <c r="F26" s="263">
        <f>('Tabell 6'!AO52+'Tabell 6'!AO56)/('Tabell 6'!AO60+'Tabell 6'!AO61)*100</f>
        <v>28.527181254455986</v>
      </c>
      <c r="G26" s="263">
        <f>('Tabell 6'!AP52+'Tabell 6'!AP56)/('Tabell 6'!AP60+'Tabell 6'!AP61)*100</f>
        <v>37.250565896879387</v>
      </c>
      <c r="H26" s="264">
        <f t="shared" si="1"/>
        <v>30.6</v>
      </c>
      <c r="I26" s="181"/>
      <c r="J26" s="74"/>
    </row>
    <row r="27" spans="1:10" ht="18.75" customHeight="1" x14ac:dyDescent="0.3">
      <c r="A27" s="192" t="s">
        <v>170</v>
      </c>
      <c r="B27" s="103">
        <f>'Tabell 6'!AO48</f>
        <v>0</v>
      </c>
      <c r="C27" s="103">
        <f>'Tabell 6'!AP48</f>
        <v>0</v>
      </c>
      <c r="D27" s="263" t="str">
        <f t="shared" si="0"/>
        <v xml:space="preserve">    ---- </v>
      </c>
      <c r="E27" s="263"/>
      <c r="F27" s="263">
        <f>'Tabell 6'!AO48/('Tabell 6'!AO60+'Tabell 6'!AO61)*100</f>
        <v>0</v>
      </c>
      <c r="G27" s="263">
        <f>'Tabell 6'!AP48/('Tabell 6'!AP60+'Tabell 6'!AP61)*100</f>
        <v>0</v>
      </c>
      <c r="H27" s="264" t="str">
        <f t="shared" si="1"/>
        <v xml:space="preserve">    ---- </v>
      </c>
      <c r="I27" s="181"/>
      <c r="J27" s="74"/>
    </row>
    <row r="28" spans="1:10" ht="18.75" customHeight="1" x14ac:dyDescent="0.3">
      <c r="A28" s="108" t="s">
        <v>171</v>
      </c>
      <c r="B28" s="105">
        <f>'Tabell 6'!AO49</f>
        <v>4335.5302268800006</v>
      </c>
      <c r="C28" s="105">
        <f>'Tabell 6'!AP49</f>
        <v>19082.07716488</v>
      </c>
      <c r="D28" s="265">
        <f t="shared" si="0"/>
        <v>340.1</v>
      </c>
      <c r="E28" s="265"/>
      <c r="F28" s="263">
        <f>'Tabell 6'!AO49/('Tabell 6'!AO60+'Tabell 6'!AO61)*100</f>
        <v>1.3848085173340401</v>
      </c>
      <c r="G28" s="263">
        <f>'Tabell 6'!AP49/('Tabell 6'!AP60+'Tabell 6'!AP61)*100</f>
        <v>5.3957746266605673</v>
      </c>
      <c r="H28" s="264">
        <f t="shared" si="1"/>
        <v>289.60000000000002</v>
      </c>
      <c r="I28" s="181"/>
      <c r="J28" s="74"/>
    </row>
    <row r="29" spans="1:10" ht="18.75" customHeight="1" x14ac:dyDescent="0.3">
      <c r="A29" s="192" t="s">
        <v>172</v>
      </c>
      <c r="B29" s="103">
        <f>'Tabell 6'!AO53+'Tabell 6'!AO57</f>
        <v>2774.82940487</v>
      </c>
      <c r="C29" s="103">
        <f>'Tabell 6'!AP53+'Tabell 6'!AP57</f>
        <v>3498.8487100699999</v>
      </c>
      <c r="D29" s="263">
        <f t="shared" si="0"/>
        <v>26.1</v>
      </c>
      <c r="E29" s="263"/>
      <c r="F29" s="263">
        <f>('Tabell 6'!AO53+'Tabell 6'!AO57)/('Tabell 6'!AO60+'Tabell 6'!AO61)*100</f>
        <v>0.88630621698564338</v>
      </c>
      <c r="G29" s="263">
        <f>('Tabell 6'!AP53+'Tabell 6'!AP57)/('Tabell 6'!AP60+'Tabell 6'!AP61)*100</f>
        <v>0.98935765373939477</v>
      </c>
      <c r="H29" s="264">
        <f t="shared" si="1"/>
        <v>11.6</v>
      </c>
      <c r="I29" s="181"/>
      <c r="J29" s="74"/>
    </row>
    <row r="30" spans="1:10" ht="18.75" customHeight="1" x14ac:dyDescent="0.3">
      <c r="A30" s="86" t="s">
        <v>173</v>
      </c>
      <c r="B30" s="103">
        <f>'Tabell 6'!AO51-'Tabell 6'!AO52+'Tabell 6'!AO58+'Tabell 6'!AO59+'Tabell 6'!AO61</f>
        <v>2154.3172536799998</v>
      </c>
      <c r="C30" s="103">
        <f>'Tabell 6'!AP51-'Tabell 6'!AP52+'Tabell 6'!AP58+'Tabell 6'!AP59+'Tabell 6'!AP61</f>
        <v>2983.2996510499997</v>
      </c>
      <c r="D30" s="264">
        <f t="shared" si="0"/>
        <v>38.5</v>
      </c>
      <c r="E30" s="264"/>
      <c r="F30" s="264">
        <f>('Tabell 6'!AO51-'Tabell 6'!AO52+'Tabell 6'!AO58+'Tabell 6'!AO59+'Tabell 6'!AO61)/('Tabell 6'!AO60+'Tabell 6'!AO61)*100</f>
        <v>0.68810888768330436</v>
      </c>
      <c r="G30" s="264">
        <f>('Tabell 6'!AP51-'Tabell 6'!AP52+'Tabell 6'!AP58+'Tabell 6'!AP59+'Tabell 6'!AP61)/('Tabell 6'!AP60+'Tabell 6'!AP61)*100</f>
        <v>0.84357758444072106</v>
      </c>
      <c r="H30" s="264">
        <f t="shared" si="1"/>
        <v>22.6</v>
      </c>
      <c r="I30" s="181"/>
      <c r="J30" s="74"/>
    </row>
    <row r="31" spans="1:10" ht="18.75" customHeight="1" x14ac:dyDescent="0.3">
      <c r="A31" s="192"/>
      <c r="B31" s="176"/>
      <c r="C31" s="176"/>
      <c r="D31" s="263"/>
      <c r="E31" s="263"/>
      <c r="F31" s="263"/>
      <c r="G31" s="264"/>
      <c r="H31" s="264"/>
      <c r="I31" s="181"/>
      <c r="J31" s="74"/>
    </row>
    <row r="32" spans="1:10" ht="18.75" customHeight="1" x14ac:dyDescent="0.3">
      <c r="A32" s="137" t="s">
        <v>2</v>
      </c>
      <c r="B32" s="109">
        <f>SUM(B33:B38)</f>
        <v>1524177.6719495999</v>
      </c>
      <c r="C32" s="109">
        <f>SUM(C33:C38)</f>
        <v>1625248.3000390397</v>
      </c>
      <c r="D32" s="261">
        <f t="shared" si="0"/>
        <v>6.6</v>
      </c>
      <c r="E32" s="261"/>
      <c r="F32" s="261">
        <f>SUM(F33:F38)</f>
        <v>100</v>
      </c>
      <c r="G32" s="261">
        <f>SUM(G33:G38)</f>
        <v>100</v>
      </c>
      <c r="H32" s="262">
        <f t="shared" si="1"/>
        <v>0</v>
      </c>
      <c r="I32" s="181"/>
      <c r="J32" s="74"/>
    </row>
    <row r="33" spans="1:10" ht="18.75" customHeight="1" x14ac:dyDescent="0.3">
      <c r="A33" s="192" t="s">
        <v>168</v>
      </c>
      <c r="B33" s="103">
        <f t="shared" ref="B33:C38" si="2">B9+B17+B25</f>
        <v>402335.35192907997</v>
      </c>
      <c r="C33" s="103">
        <f t="shared" si="2"/>
        <v>390308.77798094985</v>
      </c>
      <c r="D33" s="263">
        <f t="shared" si="0"/>
        <v>-3</v>
      </c>
      <c r="E33" s="263"/>
      <c r="F33" s="263">
        <f>B33/B32*100</f>
        <v>26.396880057588458</v>
      </c>
      <c r="G33" s="263">
        <f>C33/C32*100</f>
        <v>24.015332178570766</v>
      </c>
      <c r="H33" s="264">
        <f t="shared" si="1"/>
        <v>-9</v>
      </c>
      <c r="I33" s="181"/>
      <c r="J33" s="74"/>
    </row>
    <row r="34" spans="1:10" ht="18.75" customHeight="1" x14ac:dyDescent="0.3">
      <c r="A34" s="192" t="s">
        <v>169</v>
      </c>
      <c r="B34" s="103">
        <f t="shared" si="2"/>
        <v>518192.96161480999</v>
      </c>
      <c r="C34" s="103">
        <f t="shared" si="2"/>
        <v>547435.58074758993</v>
      </c>
      <c r="D34" s="263">
        <f t="shared" si="0"/>
        <v>5.6</v>
      </c>
      <c r="E34" s="263"/>
      <c r="F34" s="263">
        <f>B34/B32*100</f>
        <v>33.998199235656109</v>
      </c>
      <c r="G34" s="263">
        <f>C34/C32*100</f>
        <v>33.683196637365512</v>
      </c>
      <c r="H34" s="264">
        <f t="shared" si="1"/>
        <v>-0.9</v>
      </c>
      <c r="I34" s="181"/>
      <c r="J34" s="74"/>
    </row>
    <row r="35" spans="1:10" ht="18.75" customHeight="1" x14ac:dyDescent="0.3">
      <c r="A35" s="192" t="s">
        <v>170</v>
      </c>
      <c r="B35" s="103">
        <f t="shared" si="2"/>
        <v>899.70281775000001</v>
      </c>
      <c r="C35" s="103">
        <f t="shared" si="2"/>
        <v>1010.4680234299999</v>
      </c>
      <c r="D35" s="263">
        <f t="shared" si="0"/>
        <v>12.3</v>
      </c>
      <c r="E35" s="263"/>
      <c r="F35" s="263">
        <f>B35/B32*100</f>
        <v>5.9028736236450427E-2</v>
      </c>
      <c r="G35" s="263">
        <f>C35/C32*100</f>
        <v>6.2173147537254933E-2</v>
      </c>
      <c r="H35" s="264">
        <f t="shared" si="1"/>
        <v>5.3</v>
      </c>
      <c r="I35" s="181"/>
      <c r="J35" s="74"/>
    </row>
    <row r="36" spans="1:10" ht="18.75" customHeight="1" x14ac:dyDescent="0.3">
      <c r="A36" s="108" t="s">
        <v>171</v>
      </c>
      <c r="B36" s="105">
        <f t="shared" si="2"/>
        <v>152445.32144092</v>
      </c>
      <c r="C36" s="105">
        <f t="shared" si="2"/>
        <v>192836.75393949001</v>
      </c>
      <c r="D36" s="265">
        <f t="shared" si="0"/>
        <v>26.5</v>
      </c>
      <c r="E36" s="265"/>
      <c r="F36" s="263">
        <f>B36/B32*100</f>
        <v>10.00180781062911</v>
      </c>
      <c r="G36" s="263">
        <f>C36/C32*100</f>
        <v>11.8650641834148</v>
      </c>
      <c r="H36" s="264">
        <f t="shared" si="1"/>
        <v>18.600000000000001</v>
      </c>
      <c r="I36" s="181"/>
      <c r="J36" s="74"/>
    </row>
    <row r="37" spans="1:10" ht="18.75" customHeight="1" x14ac:dyDescent="0.3">
      <c r="A37" s="192" t="s">
        <v>172</v>
      </c>
      <c r="B37" s="103">
        <f t="shared" si="2"/>
        <v>417084.33473519993</v>
      </c>
      <c r="C37" s="103">
        <f t="shared" si="2"/>
        <v>454293.52140612993</v>
      </c>
      <c r="D37" s="263">
        <f t="shared" si="0"/>
        <v>8.9</v>
      </c>
      <c r="E37" s="263"/>
      <c r="F37" s="263">
        <f>B37/B32*100</f>
        <v>27.364548268293472</v>
      </c>
      <c r="G37" s="263">
        <f>C37/C32*100</f>
        <v>27.952253289249246</v>
      </c>
      <c r="H37" s="264">
        <f t="shared" si="1"/>
        <v>2.1</v>
      </c>
      <c r="I37" s="181"/>
      <c r="J37" s="74"/>
    </row>
    <row r="38" spans="1:10" ht="18.75" customHeight="1" x14ac:dyDescent="0.3">
      <c r="A38" s="266" t="s">
        <v>173</v>
      </c>
      <c r="B38" s="267">
        <f t="shared" si="2"/>
        <v>33219.999411839999</v>
      </c>
      <c r="C38" s="267">
        <f t="shared" si="2"/>
        <v>39363.197941450017</v>
      </c>
      <c r="D38" s="268">
        <f t="shared" si="0"/>
        <v>18.5</v>
      </c>
      <c r="E38" s="263"/>
      <c r="F38" s="268">
        <f>B38/B32*100</f>
        <v>2.1795358915964025</v>
      </c>
      <c r="G38" s="268">
        <f>C38/C32*100</f>
        <v>2.4219805638624257</v>
      </c>
      <c r="H38" s="269">
        <f t="shared" si="1"/>
        <v>11.1</v>
      </c>
      <c r="I38" s="181"/>
      <c r="J38" s="74"/>
    </row>
    <row r="39" spans="1:10" ht="18.75" customHeight="1" x14ac:dyDescent="0.3">
      <c r="A39" s="112"/>
      <c r="B39" s="112"/>
      <c r="C39" s="112"/>
      <c r="D39" s="112"/>
      <c r="E39" s="112"/>
      <c r="F39" s="181"/>
      <c r="G39" s="181"/>
      <c r="H39" s="181"/>
      <c r="I39" s="181"/>
      <c r="J39" s="74"/>
    </row>
    <row r="40" spans="1:10" ht="18.75" customHeight="1" x14ac:dyDescent="0.3">
      <c r="A40" s="112" t="s">
        <v>176</v>
      </c>
      <c r="B40" s="112"/>
      <c r="C40" s="112"/>
      <c r="D40" s="112"/>
      <c r="E40" s="112"/>
      <c r="F40" s="181"/>
      <c r="G40" s="181"/>
      <c r="H40" s="181"/>
      <c r="I40" s="181"/>
      <c r="J40" s="74"/>
    </row>
    <row r="41" spans="1:10" ht="18.75" x14ac:dyDescent="0.3">
      <c r="A41" s="112" t="s">
        <v>107</v>
      </c>
      <c r="B41" s="112"/>
      <c r="C41" s="112"/>
      <c r="D41" s="112"/>
      <c r="E41" s="112"/>
      <c r="F41" s="74"/>
      <c r="G41" s="74"/>
      <c r="H41" s="74"/>
      <c r="I41" s="74"/>
      <c r="J41" s="74"/>
    </row>
    <row r="42" spans="1:10" ht="18.75" x14ac:dyDescent="0.3">
      <c r="A42" s="74"/>
      <c r="B42" s="74"/>
      <c r="C42" s="74"/>
      <c r="D42" s="74"/>
      <c r="E42" s="74"/>
      <c r="G42" s="74"/>
      <c r="H42" s="74"/>
      <c r="I42" s="74"/>
      <c r="J42" s="74"/>
    </row>
    <row r="43" spans="1:10" ht="18.75" x14ac:dyDescent="0.3">
      <c r="A43" s="74"/>
      <c r="B43" s="74"/>
      <c r="C43" s="74"/>
      <c r="D43" s="74"/>
      <c r="E43" s="74"/>
      <c r="F43" s="74"/>
      <c r="G43" s="74"/>
      <c r="H43" s="74"/>
      <c r="I43" s="74"/>
      <c r="J43" s="74"/>
    </row>
    <row r="44" spans="1:10" ht="18.75" x14ac:dyDescent="0.3">
      <c r="A44" s="74"/>
      <c r="B44" s="74"/>
      <c r="C44" s="74"/>
      <c r="D44" s="74"/>
      <c r="E44" s="74"/>
      <c r="F44" s="74"/>
      <c r="G44" s="74"/>
      <c r="H44" s="74"/>
      <c r="I44" s="74"/>
      <c r="J44" s="74"/>
    </row>
    <row r="45" spans="1:10" ht="18.75" x14ac:dyDescent="0.3">
      <c r="A45" s="74"/>
      <c r="B45" s="74"/>
      <c r="C45" s="74"/>
      <c r="D45" s="74"/>
      <c r="E45" s="74"/>
      <c r="F45" s="74"/>
      <c r="G45" s="74"/>
      <c r="H45" s="74"/>
      <c r="I45" s="74"/>
      <c r="J45" s="74"/>
    </row>
    <row r="46" spans="1:10" ht="18.75" x14ac:dyDescent="0.3">
      <c r="A46" s="74"/>
      <c r="B46" s="74"/>
      <c r="C46" s="74"/>
      <c r="D46" s="74"/>
      <c r="E46" s="74"/>
      <c r="F46" s="74"/>
      <c r="G46" s="74"/>
      <c r="H46" s="74"/>
      <c r="I46" s="74"/>
      <c r="J46" s="74"/>
    </row>
    <row r="47" spans="1:10" ht="18.75" x14ac:dyDescent="0.3">
      <c r="A47" s="74"/>
      <c r="B47" s="74"/>
      <c r="C47" s="74"/>
      <c r="D47" s="74"/>
      <c r="E47" s="74"/>
      <c r="F47" s="74"/>
      <c r="G47" s="74"/>
      <c r="H47" s="74"/>
      <c r="I47" s="74"/>
      <c r="J47" s="74"/>
    </row>
    <row r="48" spans="1:10" ht="18.75" x14ac:dyDescent="0.3">
      <c r="A48" s="74"/>
      <c r="B48" s="74"/>
      <c r="C48" s="74"/>
      <c r="D48" s="74"/>
      <c r="E48" s="74"/>
      <c r="F48" s="74"/>
      <c r="G48" s="74"/>
      <c r="H48" s="74"/>
      <c r="I48" s="74"/>
      <c r="J48" s="74"/>
    </row>
    <row r="49" spans="1:10" ht="18.75" x14ac:dyDescent="0.3">
      <c r="A49" s="74"/>
      <c r="B49" s="74"/>
      <c r="C49" s="74"/>
      <c r="D49" s="74"/>
      <c r="E49" s="74"/>
      <c r="F49" s="74"/>
      <c r="G49" s="74"/>
      <c r="H49" s="74"/>
      <c r="I49" s="74"/>
      <c r="J49" s="74"/>
    </row>
    <row r="50" spans="1:10" ht="18.75" x14ac:dyDescent="0.3">
      <c r="A50" s="74"/>
      <c r="B50" s="74"/>
      <c r="C50" s="74"/>
      <c r="D50" s="74"/>
      <c r="E50" s="74"/>
      <c r="F50" s="74"/>
      <c r="G50" s="74"/>
      <c r="H50" s="74"/>
      <c r="I50" s="74"/>
      <c r="J50" s="74"/>
    </row>
    <row r="51" spans="1:10" ht="18.75" x14ac:dyDescent="0.3">
      <c r="A51" s="74"/>
      <c r="B51" s="74"/>
      <c r="C51" s="74"/>
      <c r="D51" s="74"/>
      <c r="E51" s="74"/>
      <c r="F51" s="74"/>
      <c r="G51" s="74"/>
      <c r="H51" s="74"/>
      <c r="I51" s="74"/>
      <c r="J51" s="74"/>
    </row>
    <row r="52" spans="1:10" ht="18.75" x14ac:dyDescent="0.3">
      <c r="A52" s="74"/>
      <c r="B52" s="74"/>
      <c r="C52" s="74"/>
      <c r="D52" s="74"/>
      <c r="E52" s="74"/>
      <c r="F52" s="74"/>
      <c r="G52" s="74"/>
      <c r="H52" s="74"/>
      <c r="I52" s="74"/>
      <c r="J52" s="74"/>
    </row>
    <row r="53" spans="1:10" ht="18.75" x14ac:dyDescent="0.3">
      <c r="A53" s="74"/>
      <c r="B53" s="74"/>
      <c r="C53" s="74"/>
      <c r="D53" s="74"/>
      <c r="E53" s="74"/>
      <c r="F53" s="74"/>
      <c r="G53" s="74"/>
      <c r="H53" s="74"/>
      <c r="I53" s="74"/>
      <c r="J53" s="74"/>
    </row>
    <row r="54" spans="1:10" ht="18.75" x14ac:dyDescent="0.3">
      <c r="A54" s="74"/>
      <c r="B54" s="74"/>
      <c r="C54" s="74"/>
      <c r="D54" s="74"/>
      <c r="E54" s="74"/>
      <c r="F54" s="74"/>
      <c r="G54" s="74"/>
      <c r="H54" s="74"/>
      <c r="I54" s="74"/>
      <c r="J54" s="74"/>
    </row>
    <row r="55" spans="1:10" ht="18.75" x14ac:dyDescent="0.3">
      <c r="A55" s="74"/>
      <c r="B55" s="74"/>
      <c r="C55" s="74"/>
      <c r="D55" s="74"/>
      <c r="E55" s="74"/>
      <c r="F55" s="74"/>
      <c r="G55" s="74"/>
      <c r="H55" s="74"/>
      <c r="I55" s="74"/>
      <c r="J55" s="74"/>
    </row>
    <row r="56" spans="1:10" ht="18.75" x14ac:dyDescent="0.3">
      <c r="A56" s="74"/>
      <c r="B56" s="74"/>
      <c r="C56" s="74"/>
      <c r="D56" s="74"/>
      <c r="E56" s="74"/>
      <c r="F56" s="74"/>
      <c r="G56" s="74"/>
      <c r="H56" s="74"/>
      <c r="I56" s="74"/>
      <c r="J56" s="74"/>
    </row>
    <row r="57" spans="1:10" ht="18.75" x14ac:dyDescent="0.3">
      <c r="A57" s="74"/>
      <c r="B57" s="74"/>
      <c r="C57" s="74"/>
      <c r="D57" s="74"/>
      <c r="E57" s="74"/>
      <c r="F57" s="74"/>
      <c r="G57" s="74"/>
      <c r="H57" s="74"/>
      <c r="I57" s="74"/>
      <c r="J57" s="74"/>
    </row>
    <row r="58" spans="1:10" ht="18.75" x14ac:dyDescent="0.3">
      <c r="A58" s="74"/>
      <c r="B58" s="74"/>
      <c r="C58" s="74"/>
      <c r="D58" s="74"/>
      <c r="E58" s="74"/>
      <c r="F58" s="74"/>
      <c r="G58" s="74"/>
      <c r="H58" s="74"/>
      <c r="I58" s="74"/>
      <c r="J58" s="74"/>
    </row>
    <row r="59" spans="1:10" ht="18.75" x14ac:dyDescent="0.3">
      <c r="A59" s="74"/>
      <c r="B59" s="74"/>
      <c r="C59" s="74"/>
      <c r="D59" s="74"/>
      <c r="E59" s="74"/>
      <c r="F59" s="74"/>
      <c r="G59" s="74"/>
      <c r="H59" s="74"/>
      <c r="I59" s="74"/>
      <c r="J59" s="74"/>
    </row>
    <row r="60" spans="1:10" ht="18.75" x14ac:dyDescent="0.3">
      <c r="A60" s="74"/>
      <c r="B60" s="74"/>
      <c r="C60" s="74"/>
      <c r="D60" s="74"/>
      <c r="E60" s="74"/>
      <c r="F60" s="74"/>
      <c r="G60" s="74"/>
      <c r="H60" s="74"/>
      <c r="I60" s="74"/>
      <c r="J60" s="74"/>
    </row>
    <row r="61" spans="1:10" ht="18.75" x14ac:dyDescent="0.3">
      <c r="A61" s="74"/>
      <c r="B61" s="74"/>
      <c r="C61" s="74"/>
      <c r="D61" s="74"/>
      <c r="E61" s="74"/>
      <c r="F61" s="74"/>
      <c r="G61" s="74"/>
      <c r="H61" s="74"/>
      <c r="I61" s="74"/>
      <c r="J61" s="74"/>
    </row>
    <row r="62" spans="1:10" ht="18.75" x14ac:dyDescent="0.3">
      <c r="A62" s="74"/>
      <c r="B62" s="74"/>
      <c r="C62" s="74"/>
      <c r="D62" s="74"/>
      <c r="E62" s="74"/>
      <c r="F62" s="74"/>
      <c r="G62" s="74"/>
      <c r="H62" s="74"/>
      <c r="I62" s="74"/>
      <c r="J62" s="74"/>
    </row>
    <row r="63" spans="1:10" ht="18.75" x14ac:dyDescent="0.3">
      <c r="A63" s="74"/>
      <c r="B63" s="74"/>
      <c r="C63" s="74"/>
      <c r="D63" s="74"/>
      <c r="E63" s="74"/>
      <c r="F63" s="74"/>
      <c r="G63" s="74"/>
      <c r="H63" s="74"/>
      <c r="I63" s="74"/>
      <c r="J63" s="74"/>
    </row>
    <row r="64" spans="1:10" ht="18.75" x14ac:dyDescent="0.3">
      <c r="A64" s="74"/>
      <c r="B64" s="74"/>
      <c r="C64" s="74"/>
      <c r="D64" s="74"/>
      <c r="E64" s="74"/>
      <c r="F64" s="74"/>
      <c r="G64" s="74"/>
      <c r="H64" s="74"/>
      <c r="I64" s="74"/>
      <c r="J64" s="74"/>
    </row>
    <row r="65" spans="1:10" ht="18.75" x14ac:dyDescent="0.3">
      <c r="A65" s="74"/>
      <c r="B65" s="74"/>
      <c r="C65" s="74"/>
      <c r="D65" s="74"/>
      <c r="E65" s="74"/>
      <c r="F65" s="74"/>
      <c r="G65" s="74"/>
      <c r="H65" s="74"/>
      <c r="I65" s="74"/>
      <c r="J65" s="74"/>
    </row>
    <row r="66" spans="1:10" ht="18.75" x14ac:dyDescent="0.3">
      <c r="A66" s="74"/>
      <c r="B66" s="74"/>
      <c r="C66" s="74"/>
      <c r="D66" s="74"/>
      <c r="E66" s="74"/>
      <c r="F66" s="74"/>
      <c r="G66" s="74"/>
      <c r="H66" s="74"/>
      <c r="I66" s="74"/>
      <c r="J66" s="74"/>
    </row>
    <row r="67" spans="1:10" ht="18.75" x14ac:dyDescent="0.3">
      <c r="A67" s="74"/>
      <c r="B67" s="74"/>
      <c r="C67" s="74"/>
      <c r="D67" s="74"/>
      <c r="E67" s="74"/>
      <c r="F67" s="74"/>
      <c r="G67" s="74"/>
      <c r="H67" s="74"/>
      <c r="I67" s="74"/>
      <c r="J67" s="74"/>
    </row>
    <row r="68" spans="1:10" ht="18.75" x14ac:dyDescent="0.3">
      <c r="A68" s="74"/>
      <c r="B68" s="74"/>
      <c r="C68" s="74"/>
      <c r="D68" s="74"/>
      <c r="E68" s="74"/>
      <c r="F68" s="74"/>
      <c r="G68" s="74"/>
      <c r="H68" s="74"/>
      <c r="I68" s="74"/>
      <c r="J68" s="74"/>
    </row>
    <row r="69" spans="1:10" ht="18.75" x14ac:dyDescent="0.3">
      <c r="A69" s="74"/>
      <c r="B69" s="74"/>
      <c r="C69" s="74"/>
      <c r="D69" s="74"/>
      <c r="E69" s="74"/>
      <c r="F69" s="74"/>
      <c r="G69" s="74"/>
      <c r="H69" s="74"/>
      <c r="I69" s="74"/>
      <c r="J69" s="74"/>
    </row>
    <row r="70" spans="1:10" ht="18.75" x14ac:dyDescent="0.3">
      <c r="A70" s="74"/>
      <c r="B70" s="74"/>
      <c r="C70" s="74"/>
      <c r="D70" s="74"/>
      <c r="E70" s="74"/>
      <c r="F70" s="74"/>
      <c r="G70" s="74"/>
      <c r="H70" s="74"/>
      <c r="I70" s="74"/>
      <c r="J70" s="74"/>
    </row>
    <row r="71" spans="1:10" ht="18.75" x14ac:dyDescent="0.3">
      <c r="A71" s="74"/>
      <c r="B71" s="74"/>
      <c r="C71" s="74"/>
      <c r="D71" s="74"/>
      <c r="E71" s="74"/>
      <c r="F71" s="74"/>
      <c r="G71" s="74"/>
      <c r="H71" s="74"/>
      <c r="I71" s="74"/>
      <c r="J71" s="74"/>
    </row>
    <row r="72" spans="1:10" ht="18.75" x14ac:dyDescent="0.3">
      <c r="A72" s="74"/>
      <c r="B72" s="74"/>
      <c r="C72" s="74"/>
      <c r="D72" s="74"/>
      <c r="E72" s="74"/>
      <c r="F72" s="74"/>
      <c r="G72" s="74"/>
      <c r="H72" s="74"/>
      <c r="I72" s="74"/>
      <c r="J72" s="74"/>
    </row>
    <row r="73" spans="1:10" ht="18.75" x14ac:dyDescent="0.3">
      <c r="A73" s="74"/>
      <c r="B73" s="74"/>
      <c r="C73" s="74"/>
      <c r="D73" s="74"/>
      <c r="E73" s="74"/>
      <c r="F73" s="74"/>
      <c r="G73" s="74"/>
      <c r="H73" s="74"/>
      <c r="I73" s="74"/>
      <c r="J73" s="74"/>
    </row>
    <row r="74" spans="1:10" ht="18.75" x14ac:dyDescent="0.3">
      <c r="A74" s="74"/>
      <c r="B74" s="74"/>
      <c r="C74" s="74"/>
      <c r="D74" s="74"/>
      <c r="E74" s="74"/>
      <c r="F74" s="74"/>
      <c r="G74" s="74"/>
      <c r="H74" s="74"/>
      <c r="I74" s="74"/>
      <c r="J74" s="74"/>
    </row>
    <row r="75" spans="1:10" ht="18.75" x14ac:dyDescent="0.3">
      <c r="A75" s="74"/>
      <c r="B75" s="74"/>
      <c r="C75" s="74"/>
      <c r="D75" s="74"/>
      <c r="E75" s="74"/>
      <c r="F75" s="74"/>
      <c r="G75" s="74"/>
      <c r="H75" s="74"/>
      <c r="I75" s="74"/>
      <c r="J75" s="74"/>
    </row>
    <row r="76" spans="1:10" ht="18.75" x14ac:dyDescent="0.3">
      <c r="A76" s="74"/>
      <c r="B76" s="74"/>
      <c r="C76" s="74"/>
      <c r="D76" s="74"/>
      <c r="E76" s="74"/>
      <c r="F76" s="74"/>
      <c r="G76" s="74"/>
      <c r="H76" s="74"/>
      <c r="I76" s="74"/>
      <c r="J76" s="74"/>
    </row>
    <row r="77" spans="1:10" ht="18.75" x14ac:dyDescent="0.3">
      <c r="A77" s="74"/>
      <c r="B77" s="74"/>
      <c r="C77" s="74"/>
      <c r="D77" s="74"/>
      <c r="E77" s="74"/>
      <c r="F77" s="74"/>
      <c r="G77" s="74"/>
      <c r="H77" s="74"/>
      <c r="I77" s="74"/>
      <c r="J77" s="74"/>
    </row>
    <row r="78" spans="1:10" ht="18.75" x14ac:dyDescent="0.3">
      <c r="A78" s="74"/>
      <c r="B78" s="74"/>
      <c r="C78" s="74"/>
      <c r="D78" s="74"/>
      <c r="E78" s="74"/>
      <c r="F78" s="74"/>
      <c r="G78" s="74"/>
      <c r="H78" s="74"/>
      <c r="I78" s="74"/>
      <c r="J78" s="74"/>
    </row>
    <row r="79" spans="1:10" ht="18.75" x14ac:dyDescent="0.3">
      <c r="A79" s="74"/>
      <c r="B79" s="74"/>
      <c r="C79" s="74"/>
      <c r="D79" s="74"/>
      <c r="E79" s="74"/>
      <c r="F79" s="74"/>
      <c r="G79" s="74"/>
      <c r="H79" s="74"/>
      <c r="I79" s="74"/>
      <c r="J79" s="74"/>
    </row>
    <row r="80" spans="1:10" ht="18.75" x14ac:dyDescent="0.3">
      <c r="A80" s="74"/>
      <c r="B80" s="74"/>
      <c r="C80" s="74"/>
      <c r="D80" s="74"/>
      <c r="E80" s="74"/>
      <c r="F80" s="74"/>
      <c r="G80" s="74"/>
      <c r="H80" s="74"/>
      <c r="I80" s="74"/>
      <c r="J80" s="74"/>
    </row>
    <row r="81" spans="1:10" ht="18.75" x14ac:dyDescent="0.3">
      <c r="A81" s="74"/>
      <c r="B81" s="74"/>
      <c r="C81" s="74"/>
      <c r="D81" s="74"/>
      <c r="E81" s="74"/>
      <c r="F81" s="74"/>
      <c r="G81" s="74"/>
      <c r="H81" s="74"/>
      <c r="I81" s="74"/>
      <c r="J81" s="74"/>
    </row>
    <row r="82" spans="1:10" ht="18.75" x14ac:dyDescent="0.3">
      <c r="A82" s="74"/>
      <c r="B82" s="74"/>
      <c r="C82" s="74"/>
      <c r="D82" s="74"/>
      <c r="E82" s="74"/>
      <c r="F82" s="74"/>
      <c r="G82" s="74"/>
      <c r="H82" s="74"/>
      <c r="I82" s="74"/>
      <c r="J82" s="74"/>
    </row>
    <row r="83" spans="1:10" ht="18.75" x14ac:dyDescent="0.3">
      <c r="A83" s="74"/>
      <c r="B83" s="74"/>
      <c r="C83" s="74"/>
      <c r="D83" s="74"/>
      <c r="E83" s="74"/>
      <c r="F83" s="74"/>
      <c r="G83" s="74"/>
      <c r="H83" s="74"/>
      <c r="I83" s="74"/>
      <c r="J83" s="74"/>
    </row>
    <row r="84" spans="1:10" ht="18.75" x14ac:dyDescent="0.3">
      <c r="A84" s="74"/>
      <c r="B84" s="74"/>
      <c r="C84" s="74"/>
      <c r="D84" s="74"/>
      <c r="E84" s="74"/>
      <c r="F84" s="74"/>
      <c r="G84" s="74"/>
      <c r="H84" s="74"/>
      <c r="I84" s="74"/>
      <c r="J84" s="74"/>
    </row>
    <row r="85" spans="1:10" ht="18.75" x14ac:dyDescent="0.3">
      <c r="A85" s="74"/>
      <c r="B85" s="74"/>
      <c r="C85" s="74"/>
      <c r="D85" s="74"/>
      <c r="E85" s="74"/>
      <c r="F85" s="74"/>
      <c r="G85" s="74"/>
      <c r="H85" s="74"/>
      <c r="I85" s="74"/>
      <c r="J85" s="74"/>
    </row>
    <row r="86" spans="1:10" ht="18.75" x14ac:dyDescent="0.3">
      <c r="A86" s="74"/>
      <c r="B86" s="74"/>
      <c r="C86" s="74"/>
      <c r="D86" s="74"/>
      <c r="E86" s="74"/>
      <c r="F86" s="74"/>
      <c r="G86" s="74"/>
      <c r="H86" s="74"/>
      <c r="I86" s="74"/>
      <c r="J86" s="74"/>
    </row>
    <row r="87" spans="1:10" ht="18.75" x14ac:dyDescent="0.3">
      <c r="A87" s="74"/>
      <c r="B87" s="74"/>
      <c r="C87" s="74"/>
      <c r="D87" s="74"/>
      <c r="E87" s="74"/>
      <c r="F87" s="74"/>
      <c r="G87" s="74"/>
      <c r="H87" s="74"/>
      <c r="I87" s="74"/>
      <c r="J87" s="74"/>
    </row>
    <row r="88" spans="1:10" ht="18.75" x14ac:dyDescent="0.3">
      <c r="A88" s="74"/>
      <c r="B88" s="74"/>
      <c r="C88" s="74"/>
      <c r="D88" s="74"/>
      <c r="E88" s="74"/>
      <c r="F88" s="74"/>
      <c r="G88" s="74"/>
      <c r="H88" s="74"/>
      <c r="I88" s="74"/>
      <c r="J88" s="74"/>
    </row>
    <row r="89" spans="1:10" ht="18.75" x14ac:dyDescent="0.3">
      <c r="A89" s="74"/>
      <c r="B89" s="74"/>
      <c r="C89" s="74"/>
      <c r="D89" s="74"/>
      <c r="E89" s="74"/>
      <c r="F89" s="74"/>
      <c r="G89" s="74"/>
      <c r="H89" s="74"/>
      <c r="I89" s="74"/>
      <c r="J89" s="74"/>
    </row>
    <row r="90" spans="1:10" ht="18.75" x14ac:dyDescent="0.3">
      <c r="A90" s="74"/>
      <c r="B90" s="74"/>
      <c r="C90" s="74"/>
      <c r="D90" s="74"/>
      <c r="E90" s="74"/>
      <c r="F90" s="74"/>
      <c r="G90" s="74"/>
      <c r="H90" s="74"/>
      <c r="I90" s="74"/>
      <c r="J90" s="74"/>
    </row>
    <row r="91" spans="1:10" ht="18.75" x14ac:dyDescent="0.3">
      <c r="A91" s="74"/>
      <c r="B91" s="74"/>
      <c r="C91" s="74"/>
      <c r="D91" s="74"/>
      <c r="E91" s="74"/>
      <c r="F91" s="74"/>
      <c r="G91" s="74"/>
      <c r="H91" s="74"/>
      <c r="I91" s="74"/>
      <c r="J91" s="74"/>
    </row>
    <row r="92" spans="1:10" ht="18.75" x14ac:dyDescent="0.3">
      <c r="A92" s="74"/>
      <c r="B92" s="74"/>
      <c r="C92" s="74"/>
      <c r="D92" s="74"/>
      <c r="E92" s="74"/>
      <c r="F92" s="74"/>
      <c r="G92" s="74"/>
      <c r="H92" s="74"/>
      <c r="I92" s="74"/>
      <c r="J92" s="74"/>
    </row>
  </sheetData>
  <mergeCells count="4">
    <mergeCell ref="B4:D4"/>
    <mergeCell ref="F4:H4"/>
    <mergeCell ref="B5:D5"/>
    <mergeCell ref="F5:H5"/>
  </mergeCells>
  <hyperlinks>
    <hyperlink ref="B1" location="Innhold!A1" display="Tilbake" xr:uid="{00000000-0004-0000-0500-000000000000}"/>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L303"/>
  <sheetViews>
    <sheetView showGridLines="0" showZeros="0" zoomScaleNormal="100" zoomScaleSheetLayoutView="80" workbookViewId="0">
      <pane xSplit="1" ySplit="1" topLeftCell="B2" activePane="bottomRight" state="frozen"/>
      <selection activeCell="J44" sqref="J44"/>
      <selection pane="topRight" activeCell="J44" sqref="J44"/>
      <selection pane="bottomLeft" activeCell="J44" sqref="J44"/>
      <selection pane="bottomRight" activeCell="A2" sqref="A2"/>
    </sheetView>
  </sheetViews>
  <sheetFormatPr baseColWidth="10" defaultColWidth="11.42578125" defaultRowHeight="12.75" x14ac:dyDescent="0.2"/>
  <cols>
    <col min="1" max="1" width="57.140625" style="1" customWidth="1"/>
    <col min="2" max="2" width="10.7109375" style="1" customWidth="1"/>
    <col min="3" max="3" width="10.85546875" style="1" customWidth="1"/>
    <col min="4" max="4" width="8.7109375" style="1" customWidth="1"/>
    <col min="5" max="5" width="10.7109375" style="1" customWidth="1"/>
    <col min="6" max="6" width="10.85546875" style="1" customWidth="1"/>
    <col min="7" max="7" width="8.7109375" style="1" customWidth="1"/>
    <col min="8" max="8" width="10.7109375" style="1" customWidth="1"/>
    <col min="9" max="9" width="10.85546875" style="1" customWidth="1"/>
    <col min="10" max="10" width="8.7109375" style="1" customWidth="1"/>
    <col min="11" max="16384" width="11.42578125" style="1"/>
  </cols>
  <sheetData>
    <row r="1" spans="1:10" ht="15.75" customHeight="1" x14ac:dyDescent="0.2">
      <c r="A1" s="348">
        <v>4</v>
      </c>
      <c r="B1" s="4"/>
      <c r="C1" s="4"/>
      <c r="D1" s="4"/>
      <c r="E1" s="4"/>
      <c r="F1" s="4"/>
      <c r="G1" s="4"/>
      <c r="H1" s="4"/>
      <c r="I1" s="4"/>
      <c r="J1" s="4"/>
    </row>
    <row r="2" spans="1:10" ht="15.75" customHeight="1" x14ac:dyDescent="0.25">
      <c r="A2" s="165" t="s">
        <v>28</v>
      </c>
      <c r="B2" s="690"/>
      <c r="C2" s="690"/>
      <c r="D2" s="690"/>
      <c r="E2" s="690"/>
      <c r="F2" s="690"/>
      <c r="G2" s="690"/>
      <c r="H2" s="690"/>
      <c r="I2" s="690"/>
      <c r="J2" s="690"/>
    </row>
    <row r="3" spans="1:10" ht="15.75" customHeight="1" x14ac:dyDescent="0.25">
      <c r="A3" s="163"/>
      <c r="B3" s="295"/>
      <c r="C3" s="295"/>
      <c r="D3" s="295"/>
      <c r="E3" s="295"/>
      <c r="F3" s="295"/>
      <c r="G3" s="295"/>
      <c r="H3" s="295"/>
      <c r="I3" s="295"/>
      <c r="J3" s="295"/>
    </row>
    <row r="4" spans="1:10" ht="15.75" customHeight="1" x14ac:dyDescent="0.2">
      <c r="A4" s="144"/>
      <c r="B4" s="691" t="s">
        <v>0</v>
      </c>
      <c r="C4" s="692"/>
      <c r="D4" s="692"/>
      <c r="E4" s="691" t="s">
        <v>1</v>
      </c>
      <c r="F4" s="692"/>
      <c r="G4" s="692"/>
      <c r="H4" s="691" t="s">
        <v>2</v>
      </c>
      <c r="I4" s="692"/>
      <c r="J4" s="693"/>
    </row>
    <row r="5" spans="1:10" ht="15.75" customHeight="1" x14ac:dyDescent="0.2">
      <c r="A5" s="158"/>
      <c r="B5" s="20" t="s">
        <v>422</v>
      </c>
      <c r="C5" s="20" t="s">
        <v>423</v>
      </c>
      <c r="D5" s="247" t="s">
        <v>3</v>
      </c>
      <c r="E5" s="20" t="s">
        <v>422</v>
      </c>
      <c r="F5" s="20" t="s">
        <v>423</v>
      </c>
      <c r="G5" s="247" t="s">
        <v>3</v>
      </c>
      <c r="H5" s="20" t="s">
        <v>422</v>
      </c>
      <c r="I5" s="20" t="s">
        <v>423</v>
      </c>
      <c r="J5" s="247" t="s">
        <v>3</v>
      </c>
    </row>
    <row r="6" spans="1:10" ht="15.75" customHeight="1" x14ac:dyDescent="0.2">
      <c r="A6" s="665"/>
      <c r="B6" s="15"/>
      <c r="C6" s="15"/>
      <c r="D6" s="17" t="s">
        <v>4</v>
      </c>
      <c r="E6" s="16"/>
      <c r="F6" s="16"/>
      <c r="G6" s="15" t="s">
        <v>4</v>
      </c>
      <c r="H6" s="16"/>
      <c r="I6" s="16"/>
      <c r="J6" s="15" t="s">
        <v>4</v>
      </c>
    </row>
    <row r="7" spans="1:10" s="43" customFormat="1" ht="15.75" customHeight="1" x14ac:dyDescent="0.2">
      <c r="A7" s="14" t="s">
        <v>23</v>
      </c>
      <c r="B7" s="234">
        <f>'Danica Pensjonsforsikring'!B7+'DNB Livsforsikring'!B7+'Eika Forsikring AS'!B7+'Frende Livsforsikring'!B7+'Frende Skadeforsikring'!B7+'Gjensidige Forsikring'!B7+'Gjensidige Pensjon'!B7+'Handelsbanken Liv'!B7+'If Skadeforsikring NUF'!B7+KLP!B7+'KLP Bedriftspensjon AS'!B7+'KLP Skadeforsikring AS'!B7+'Landbruksforsikring AS'!B7+'NEMI Forsikring'!B7+'Nordea Liv '!B7+'Oslo Pensjonsforsikring'!B7+'Protector Forsikring'!B7+'SHB Liv'!B7+'Sparebank 1'!B7+'Storebrand Livsforsikring'!B7+'Telenor Forsikring'!B7+'Tryg Forsikring'!B7</f>
        <v>2556484.4866331103</v>
      </c>
      <c r="C7" s="234">
        <f>'Danica Pensjonsforsikring'!C7+'DNB Livsforsikring'!C7+'Eika Forsikring AS'!C7+'Frende Livsforsikring'!C7+'Frende Skadeforsikring'!C7+'Gjensidige Forsikring'!C7+'Gjensidige Pensjon'!C7+'Handelsbanken Liv'!C7+'If Skadeforsikring NUF'!C7+KLP!C7+'KLP Bedriftspensjon AS'!C7+'KLP Skadeforsikring AS'!C7+'Landbruksforsikring AS'!C7+'NEMI Forsikring'!C7+'Nordea Liv '!C7+'Oslo Pensjonsforsikring'!C7+'Protector Forsikring'!C7+'SHB Liv'!C7+'Sparebank 1'!C7+'Storebrand Livsforsikring'!C7+'Telenor Forsikring'!C7+'Tryg Forsikring'!C7</f>
        <v>2655603.8684923854</v>
      </c>
      <c r="D7" s="160">
        <f t="shared" ref="D7:D12" si="0">IF(B7=0, "    ---- ", IF(ABS(ROUND(100/B7*C7-100,1))&lt;999,ROUND(100/B7*C7-100,1),IF(ROUND(100/B7*C7-100,1)&gt;999,999,-999)))</f>
        <v>3.9</v>
      </c>
      <c r="E7" s="234">
        <f>'Danica Pensjonsforsikring'!F7+'DNB Livsforsikring'!F7+'Eika Forsikring AS'!F7+'Frende Livsforsikring'!F7+'Frende Skadeforsikring'!F7+'Gjensidige Forsikring'!F7+'Gjensidige Pensjon'!F7+'Handelsbanken Liv'!F7+'If Skadeforsikring NUF'!F7+KLP!F7+'KLP Bedriftspensjon AS'!F7+'KLP Skadeforsikring AS'!F7+'Landbruksforsikring AS'!F7+'NEMI Forsikring'!F7+'Nordea Liv '!F7+'Oslo Pensjonsforsikring'!F7+'Protector Forsikring'!F7+'SHB Liv'!F7+'Sparebank 1'!F7+'Storebrand Livsforsikring'!F7+'Telenor Forsikring'!F7+'Tryg Forsikring'!F7</f>
        <v>3720632.22584</v>
      </c>
      <c r="F7" s="234">
        <f>'Danica Pensjonsforsikring'!G7+'DNB Livsforsikring'!G7+'Eika Forsikring AS'!G7+'Frende Livsforsikring'!G7+'Frende Skadeforsikring'!G7+'Gjensidige Forsikring'!G7+'Gjensidige Pensjon'!G7+'Handelsbanken Liv'!G7+'If Skadeforsikring NUF'!G7+KLP!G7+'KLP Bedriftspensjon AS'!G7+'KLP Skadeforsikring AS'!G7+'Landbruksforsikring AS'!G7+'NEMI Forsikring'!G7+'Nordea Liv '!G7+'Oslo Pensjonsforsikring'!G7+'Protector Forsikring'!G7+'SHB Liv'!G7+'Sparebank 1'!G7+'Storebrand Livsforsikring'!G7+'Telenor Forsikring'!G7+'Tryg Forsikring'!G7</f>
        <v>5027290.4678600002</v>
      </c>
      <c r="G7" s="160">
        <f t="shared" ref="G7:G12" si="1">IF(E7=0, "    ---- ", IF(ABS(ROUND(100/E7*F7-100,1))&lt;999,ROUND(100/E7*F7-100,1),IF(ROUND(100/E7*F7-100,1)&gt;999,999,-999)))</f>
        <v>35.1</v>
      </c>
      <c r="H7" s="275">
        <f t="shared" ref="H7:H12" si="2">B7+E7</f>
        <v>6277116.7124731103</v>
      </c>
      <c r="I7" s="276">
        <f t="shared" ref="I7:I12" si="3">C7+F7</f>
        <v>7682894.3363523856</v>
      </c>
      <c r="J7" s="171">
        <f t="shared" ref="J7:J12" si="4">IF(H7=0, "    ---- ", IF(ABS(ROUND(100/H7*I7-100,1))&lt;999,ROUND(100/H7*I7-100,1),IF(ROUND(100/H7*I7-100,1)&gt;999,999,-999)))</f>
        <v>22.4</v>
      </c>
    </row>
    <row r="8" spans="1:10" ht="15.75" customHeight="1" x14ac:dyDescent="0.2">
      <c r="A8" s="21" t="s">
        <v>25</v>
      </c>
      <c r="B8" s="44">
        <f>'Danica Pensjonsforsikring'!B8+'DNB Livsforsikring'!B8+'Eika Forsikring AS'!B8+'Frende Livsforsikring'!B8+'Frende Skadeforsikring'!B8+'Gjensidige Forsikring'!B8+'Gjensidige Pensjon'!B8+'Handelsbanken Liv'!B8+'If Skadeforsikring NUF'!B8+KLP!B8+'KLP Bedriftspensjon AS'!B8+'KLP Skadeforsikring AS'!B8+'Landbruksforsikring AS'!B8+'NEMI Forsikring'!B8+'Nordea Liv '!B8+'Oslo Pensjonsforsikring'!B8+'Protector Forsikring'!B8+'SHB Liv'!B8+'Sparebank 1'!B8+'Storebrand Livsforsikring'!B8+'Telenor Forsikring'!B8+'Tryg Forsikring'!B8</f>
        <v>1583816.3211697331</v>
      </c>
      <c r="C8" s="44">
        <f>'Danica Pensjonsforsikring'!C8+'DNB Livsforsikring'!C8+'Eika Forsikring AS'!C8+'Frende Livsforsikring'!C8+'Frende Skadeforsikring'!C8+'Gjensidige Forsikring'!C8+'Gjensidige Pensjon'!C8+'Handelsbanken Liv'!C8+'If Skadeforsikring NUF'!C8+KLP!C8+'KLP Bedriftspensjon AS'!C8+'KLP Skadeforsikring AS'!C8+'Landbruksforsikring AS'!C8+'NEMI Forsikring'!C8+'Nordea Liv '!C8+'Oslo Pensjonsforsikring'!C8+'Protector Forsikring'!C8+'SHB Liv'!C8+'Sparebank 1'!C8+'Storebrand Livsforsikring'!C8+'Telenor Forsikring'!C8+'Tryg Forsikring'!C8</f>
        <v>1597140.7431618453</v>
      </c>
      <c r="D8" s="166">
        <f t="shared" si="0"/>
        <v>0.8</v>
      </c>
      <c r="E8" s="186">
        <f>'Danica Pensjonsforsikring'!F8+'DNB Livsforsikring'!F8+'Eika Forsikring AS'!F8+'Frende Livsforsikring'!F8+'Frende Skadeforsikring'!F8+'Gjensidige Forsikring'!F8+'Gjensidige Pensjon'!F8+'Handelsbanken Liv'!F8+'If Skadeforsikring NUF'!F8+KLP!F8+'KLP Bedriftspensjon AS'!F8+'KLP Skadeforsikring AS'!F8+'Landbruksforsikring AS'!F8+'NEMI Forsikring'!F8+'Nordea Liv '!F8+'Oslo Pensjonsforsikring'!F8+'Protector Forsikring'!F8+'SHB Liv'!F8+'Sparebank 1'!F8+'Storebrand Livsforsikring'!F8+'Telenor Forsikring'!F8+'Tryg Forsikring'!F8</f>
        <v>0</v>
      </c>
      <c r="F8" s="186">
        <f>'Danica Pensjonsforsikring'!G8+'DNB Livsforsikring'!G8+'Eika Forsikring AS'!G8+'Frende Livsforsikring'!G8+'Frende Skadeforsikring'!G8+'Gjensidige Forsikring'!G8+'Gjensidige Pensjon'!G8+'Handelsbanken Liv'!G8+'If Skadeforsikring NUF'!G8+KLP!G8+'KLP Bedriftspensjon AS'!G8+'KLP Skadeforsikring AS'!G8+'Landbruksforsikring AS'!G8+'NEMI Forsikring'!G8+'Nordea Liv '!G8+'Oslo Pensjonsforsikring'!G8+'Protector Forsikring'!G8+'SHB Liv'!G8+'Sparebank 1'!G8+'Storebrand Livsforsikring'!G8+'Telenor Forsikring'!G8+'Tryg Forsikring'!G8</f>
        <v>0</v>
      </c>
      <c r="G8" s="175"/>
      <c r="H8" s="188">
        <f t="shared" si="2"/>
        <v>1583816.3211697331</v>
      </c>
      <c r="I8" s="189">
        <f t="shared" si="3"/>
        <v>1597140.7431618453</v>
      </c>
      <c r="J8" s="171">
        <f t="shared" si="4"/>
        <v>0.8</v>
      </c>
    </row>
    <row r="9" spans="1:10" ht="15.75" customHeight="1" x14ac:dyDescent="0.2">
      <c r="A9" s="21" t="s">
        <v>24</v>
      </c>
      <c r="B9" s="44">
        <f>'Danica Pensjonsforsikring'!B9+'DNB Livsforsikring'!B9+'Eika Forsikring AS'!B9+'Frende Livsforsikring'!B9+'Frende Skadeforsikring'!B9+'Gjensidige Forsikring'!B9+'Gjensidige Pensjon'!B9+'Handelsbanken Liv'!B9+'If Skadeforsikring NUF'!B9+KLP!B9+'KLP Bedriftspensjon AS'!B9+'KLP Skadeforsikring AS'!B9+'Landbruksforsikring AS'!B9+'NEMI Forsikring'!B9+'Nordea Liv '!B9+'Oslo Pensjonsforsikring'!B9+'Protector Forsikring'!B9+'SHB Liv'!B9+'Sparebank 1'!B9+'Storebrand Livsforsikring'!B9+'Telenor Forsikring'!B9+'Tryg Forsikring'!B9</f>
        <v>604014.11961531406</v>
      </c>
      <c r="C9" s="44">
        <f>'Danica Pensjonsforsikring'!C9+'DNB Livsforsikring'!C9+'Eika Forsikring AS'!C9+'Frende Livsforsikring'!C9+'Frende Skadeforsikring'!C9+'Gjensidige Forsikring'!C9+'Gjensidige Pensjon'!C9+'Handelsbanken Liv'!C9+'If Skadeforsikring NUF'!C9+KLP!C9+'KLP Bedriftspensjon AS'!C9+'KLP Skadeforsikring AS'!C9+'Landbruksforsikring AS'!C9+'NEMI Forsikring'!C9+'Nordea Liv '!C9+'Oslo Pensjonsforsikring'!C9+'Protector Forsikring'!C9+'SHB Liv'!C9+'Sparebank 1'!C9+'Storebrand Livsforsikring'!C9+'Telenor Forsikring'!C9+'Tryg Forsikring'!C9</f>
        <v>582260.13486475253</v>
      </c>
      <c r="D9" s="175">
        <f t="shared" si="0"/>
        <v>-3.6</v>
      </c>
      <c r="E9" s="186">
        <f>'Danica Pensjonsforsikring'!F9+'DNB Livsforsikring'!F9+'Eika Forsikring AS'!F9+'Frende Livsforsikring'!F9+'Frende Skadeforsikring'!F9+'Gjensidige Forsikring'!F9+'Gjensidige Pensjon'!F9+'Handelsbanken Liv'!F9+'If Skadeforsikring NUF'!F9+KLP!F9+'KLP Bedriftspensjon AS'!F9+'KLP Skadeforsikring AS'!F9+'Landbruksforsikring AS'!F9+'NEMI Forsikring'!F9+'Nordea Liv '!F9+'Oslo Pensjonsforsikring'!F9+'Protector Forsikring'!F9+'SHB Liv'!F9+'Sparebank 1'!F9+'Storebrand Livsforsikring'!F9+'Telenor Forsikring'!F9+'Tryg Forsikring'!F9</f>
        <v>0</v>
      </c>
      <c r="F9" s="186">
        <f>'Danica Pensjonsforsikring'!G9+'DNB Livsforsikring'!G9+'Eika Forsikring AS'!G9+'Frende Livsforsikring'!G9+'Frende Skadeforsikring'!G9+'Gjensidige Forsikring'!G9+'Gjensidige Pensjon'!G9+'Handelsbanken Liv'!G9+'If Skadeforsikring NUF'!G9+KLP!G9+'KLP Bedriftspensjon AS'!G9+'KLP Skadeforsikring AS'!G9+'Landbruksforsikring AS'!G9+'NEMI Forsikring'!G9+'Nordea Liv '!G9+'Oslo Pensjonsforsikring'!G9+'Protector Forsikring'!G9+'SHB Liv'!G9+'Sparebank 1'!G9+'Storebrand Livsforsikring'!G9+'Telenor Forsikring'!G9+'Tryg Forsikring'!G9</f>
        <v>0</v>
      </c>
      <c r="G9" s="175"/>
      <c r="H9" s="188">
        <f t="shared" si="2"/>
        <v>604014.11961531406</v>
      </c>
      <c r="I9" s="189">
        <f t="shared" si="3"/>
        <v>582260.13486475253</v>
      </c>
      <c r="J9" s="171">
        <f t="shared" si="4"/>
        <v>-3.6</v>
      </c>
    </row>
    <row r="10" spans="1:10" s="43" customFormat="1" ht="15.75" customHeight="1" x14ac:dyDescent="0.2">
      <c r="A10" s="39" t="s">
        <v>371</v>
      </c>
      <c r="B10" s="234">
        <f>'Danica Pensjonsforsikring'!B10+'DNB Livsforsikring'!B10+'Eika Forsikring AS'!B10+'Frende Livsforsikring'!B10+'Frende Skadeforsikring'!B10+'Gjensidige Forsikring'!B10+'Gjensidige Pensjon'!B10+'Handelsbanken Liv'!B10+'If Skadeforsikring NUF'!B10+KLP!B10+'KLP Bedriftspensjon AS'!B10+'KLP Skadeforsikring AS'!B10+'Landbruksforsikring AS'!B10+'NEMI Forsikring'!B10+'Nordea Liv '!B10+'Oslo Pensjonsforsikring'!B10+'Protector Forsikring'!B10+'SHB Liv'!B10+'Sparebank 1'!B10+'Storebrand Livsforsikring'!B10+'Telenor Forsikring'!B10+'Tryg Forsikring'!B10</f>
        <v>21559420.257731661</v>
      </c>
      <c r="C10" s="234">
        <f>'Danica Pensjonsforsikring'!C10+'DNB Livsforsikring'!C10+'Eika Forsikring AS'!C10+'Frende Livsforsikring'!C10+'Frende Skadeforsikring'!C10+'Gjensidige Forsikring'!C10+'Gjensidige Pensjon'!C10+'Handelsbanken Liv'!C10+'If Skadeforsikring NUF'!C10+KLP!C10+'KLP Bedriftspensjon AS'!C10+'KLP Skadeforsikring AS'!C10+'Landbruksforsikring AS'!C10+'NEMI Forsikring'!C10+'Nordea Liv '!C10+'Oslo Pensjonsforsikring'!C10+'Protector Forsikring'!C10+'SHB Liv'!C10+'Sparebank 1'!C10+'Storebrand Livsforsikring'!C10+'Telenor Forsikring'!C10+'Tryg Forsikring'!C10</f>
        <v>19695305.131564621</v>
      </c>
      <c r="D10" s="160">
        <f t="shared" si="0"/>
        <v>-8.6</v>
      </c>
      <c r="E10" s="234">
        <f>'Danica Pensjonsforsikring'!F10+'DNB Livsforsikring'!F10+'Eika Forsikring AS'!F10+'Frende Livsforsikring'!F10+'Frende Skadeforsikring'!F10+'Gjensidige Forsikring'!F10+'Gjensidige Pensjon'!F10+'Handelsbanken Liv'!F10+'If Skadeforsikring NUF'!F10+KLP!F10+'KLP Bedriftspensjon AS'!F10+'KLP Skadeforsikring AS'!F10+'Landbruksforsikring AS'!F10+'NEMI Forsikring'!F10+'Nordea Liv '!F10+'Oslo Pensjonsforsikring'!F10+'Protector Forsikring'!F10+'SHB Liv'!F10+'Sparebank 1'!F10+'Storebrand Livsforsikring'!F10+'Telenor Forsikring'!F10+'Tryg Forsikring'!F10</f>
        <v>43299753.480128706</v>
      </c>
      <c r="F10" s="234">
        <f>'Danica Pensjonsforsikring'!G10+'DNB Livsforsikring'!G10+'Eika Forsikring AS'!G10+'Frende Livsforsikring'!G10+'Frende Skadeforsikring'!G10+'Gjensidige Forsikring'!G10+'Gjensidige Pensjon'!G10+'Handelsbanken Liv'!G10+'If Skadeforsikring NUF'!G10+KLP!G10+'KLP Bedriftspensjon AS'!G10+'KLP Skadeforsikring AS'!G10+'Landbruksforsikring AS'!G10+'NEMI Forsikring'!G10+'Nordea Liv '!G10+'Oslo Pensjonsforsikring'!G10+'Protector Forsikring'!G10+'SHB Liv'!G10+'Sparebank 1'!G10+'Storebrand Livsforsikring'!G10+'Telenor Forsikring'!G10+'Tryg Forsikring'!G10</f>
        <v>46403857.422623903</v>
      </c>
      <c r="G10" s="160">
        <f t="shared" si="1"/>
        <v>7.2</v>
      </c>
      <c r="H10" s="275">
        <f t="shared" si="2"/>
        <v>64859173.737860367</v>
      </c>
      <c r="I10" s="276">
        <f t="shared" si="3"/>
        <v>66099162.55418852</v>
      </c>
      <c r="J10" s="171">
        <f t="shared" si="4"/>
        <v>1.9</v>
      </c>
    </row>
    <row r="11" spans="1:10" s="43" customFormat="1" ht="15.75" customHeight="1" x14ac:dyDescent="0.2">
      <c r="A11" s="39" t="s">
        <v>372</v>
      </c>
      <c r="B11" s="234">
        <f>'Danica Pensjonsforsikring'!B11+'DNB Livsforsikring'!B11+'Eika Forsikring AS'!B11+'Frende Livsforsikring'!B11+'Frende Skadeforsikring'!B11+'Gjensidige Forsikring'!B11+'Gjensidige Pensjon'!B11+'Handelsbanken Liv'!B11+'If Skadeforsikring NUF'!B11+KLP!B11+'KLP Bedriftspensjon AS'!B11+'KLP Skadeforsikring AS'!B11+'Landbruksforsikring AS'!B11+'NEMI Forsikring'!B11+'Nordea Liv '!B11+'Oslo Pensjonsforsikring'!B11+'Protector Forsikring'!B11+'SHB Liv'!B11+'Sparebank 1'!B11+'Storebrand Livsforsikring'!B11+'Telenor Forsikring'!B11+'Tryg Forsikring'!B11</f>
        <v>6222</v>
      </c>
      <c r="C11" s="234">
        <f>'Danica Pensjonsforsikring'!C11+'DNB Livsforsikring'!C11+'Eika Forsikring AS'!C11+'Frende Livsforsikring'!C11+'Frende Skadeforsikring'!C11+'Gjensidige Forsikring'!C11+'Gjensidige Pensjon'!C11+'Handelsbanken Liv'!C11+'If Skadeforsikring NUF'!C11+KLP!C11+'KLP Bedriftspensjon AS'!C11+'KLP Skadeforsikring AS'!C11+'Landbruksforsikring AS'!C11+'NEMI Forsikring'!C11+'Nordea Liv '!C11+'Oslo Pensjonsforsikring'!C11+'Protector Forsikring'!C11+'SHB Liv'!C11+'Sparebank 1'!C11+'Storebrand Livsforsikring'!C11+'Telenor Forsikring'!C11+'Tryg Forsikring'!C11</f>
        <v>25094</v>
      </c>
      <c r="D11" s="171">
        <f t="shared" si="0"/>
        <v>303.3</v>
      </c>
      <c r="E11" s="234">
        <f>'Danica Pensjonsforsikring'!F11+'DNB Livsforsikring'!F11+'Eika Forsikring AS'!F11+'Frende Livsforsikring'!F11+'Frende Skadeforsikring'!F11+'Gjensidige Forsikring'!F11+'Gjensidige Pensjon'!F11+'Handelsbanken Liv'!F11+'If Skadeforsikring NUF'!F11+KLP!F11+'KLP Bedriftspensjon AS'!F11+'KLP Skadeforsikring AS'!F11+'Landbruksforsikring AS'!F11+'NEMI Forsikring'!F11+'Nordea Liv '!F11+'Oslo Pensjonsforsikring'!F11+'Protector Forsikring'!F11+'SHB Liv'!F11+'Sparebank 1'!F11+'Storebrand Livsforsikring'!F11+'Telenor Forsikring'!F11+'Tryg Forsikring'!F11</f>
        <v>138181.52788000001</v>
      </c>
      <c r="F11" s="234">
        <f>'Danica Pensjonsforsikring'!G11+'DNB Livsforsikring'!G11+'Eika Forsikring AS'!G11+'Frende Livsforsikring'!G11+'Frende Skadeforsikring'!G11+'Gjensidige Forsikring'!G11+'Gjensidige Pensjon'!G11+'Handelsbanken Liv'!G11+'If Skadeforsikring NUF'!G11+KLP!G11+'KLP Bedriftspensjon AS'!G11+'KLP Skadeforsikring AS'!G11+'Landbruksforsikring AS'!G11+'NEMI Forsikring'!G11+'Nordea Liv '!G11+'Oslo Pensjonsforsikring'!G11+'Protector Forsikring'!G11+'SHB Liv'!G11+'Sparebank 1'!G11+'Storebrand Livsforsikring'!G11+'Telenor Forsikring'!G11+'Tryg Forsikring'!G11</f>
        <v>167899.82689000003</v>
      </c>
      <c r="G11" s="171">
        <f t="shared" si="1"/>
        <v>21.5</v>
      </c>
      <c r="H11" s="275">
        <f t="shared" si="2"/>
        <v>144403.52788000001</v>
      </c>
      <c r="I11" s="276">
        <f t="shared" si="3"/>
        <v>192993.82689000003</v>
      </c>
      <c r="J11" s="171">
        <f t="shared" si="4"/>
        <v>33.6</v>
      </c>
    </row>
    <row r="12" spans="1:10" s="43" customFormat="1" ht="15.75" customHeight="1" x14ac:dyDescent="0.2">
      <c r="A12" s="552" t="s">
        <v>373</v>
      </c>
      <c r="B12" s="274">
        <f>'Danica Pensjonsforsikring'!B12+'DNB Livsforsikring'!B12+'Eika Forsikring AS'!B12+'Frende Livsforsikring'!B12+'Frende Skadeforsikring'!B12+'Gjensidige Forsikring'!B12+'Gjensidige Pensjon'!B12+'Handelsbanken Liv'!B12+'If Skadeforsikring NUF'!B12+KLP!B12+'KLP Bedriftspensjon AS'!B12+'KLP Skadeforsikring AS'!B12+'Landbruksforsikring AS'!B12+'NEMI Forsikring'!B12+'Nordea Liv '!B12+'Oslo Pensjonsforsikring'!B12+'Protector Forsikring'!B12+'SHB Liv'!B12+'Sparebank 1'!B12+'Storebrand Livsforsikring'!B12+'Telenor Forsikring'!B12+'Tryg Forsikring'!B12</f>
        <v>-30</v>
      </c>
      <c r="C12" s="274">
        <f>'Danica Pensjonsforsikring'!C12+'DNB Livsforsikring'!C12+'Eika Forsikring AS'!C12+'Frende Livsforsikring'!C12+'Frende Skadeforsikring'!C12+'Gjensidige Forsikring'!C12+'Gjensidige Pensjon'!C12+'Handelsbanken Liv'!C12+'If Skadeforsikring NUF'!C12+KLP!C12+'KLP Bedriftspensjon AS'!C12+'KLP Skadeforsikring AS'!C12+'Landbruksforsikring AS'!C12+'NEMI Forsikring'!C12+'Nordea Liv '!C12+'Oslo Pensjonsforsikring'!C12+'Protector Forsikring'!C12+'SHB Liv'!C12+'Sparebank 1'!C12+'Storebrand Livsforsikring'!C12+'Telenor Forsikring'!C12+'Tryg Forsikring'!C12</f>
        <v>4345</v>
      </c>
      <c r="D12" s="170">
        <f t="shared" si="0"/>
        <v>-999</v>
      </c>
      <c r="E12" s="274">
        <f>'Danica Pensjonsforsikring'!F12+'DNB Livsforsikring'!F12+'Eika Forsikring AS'!F12+'Frende Livsforsikring'!F12+'Frende Skadeforsikring'!F12+'Gjensidige Forsikring'!F12+'Gjensidige Pensjon'!F12+'Handelsbanken Liv'!F12+'If Skadeforsikring NUF'!F12+KLP!F12+'KLP Bedriftspensjon AS'!F12+'KLP Skadeforsikring AS'!F12+'Landbruksforsikring AS'!F12+'NEMI Forsikring'!F12+'Nordea Liv '!F12+'Oslo Pensjonsforsikring'!F12+'Protector Forsikring'!F12+'SHB Liv'!F12+'Sparebank 1'!F12+'Storebrand Livsforsikring'!F12+'Telenor Forsikring'!F12+'Tryg Forsikring'!F12</f>
        <v>130514.20641</v>
      </c>
      <c r="F12" s="274">
        <f>'Danica Pensjonsforsikring'!G12+'DNB Livsforsikring'!G12+'Eika Forsikring AS'!G12+'Frende Livsforsikring'!G12+'Frende Skadeforsikring'!G12+'Gjensidige Forsikring'!G12+'Gjensidige Pensjon'!G12+'Handelsbanken Liv'!G12+'If Skadeforsikring NUF'!G12+KLP!G12+'KLP Bedriftspensjon AS'!G12+'KLP Skadeforsikring AS'!G12+'Landbruksforsikring AS'!G12+'NEMI Forsikring'!G12+'Nordea Liv '!G12+'Oslo Pensjonsforsikring'!G12+'Protector Forsikring'!G12+'SHB Liv'!G12+'Sparebank 1'!G12+'Storebrand Livsforsikring'!G12+'Telenor Forsikring'!G12+'Tryg Forsikring'!G12</f>
        <v>113325.11262000001</v>
      </c>
      <c r="G12" s="169">
        <f t="shared" si="1"/>
        <v>-13.2</v>
      </c>
      <c r="H12" s="277">
        <f t="shared" si="2"/>
        <v>130484.20641</v>
      </c>
      <c r="I12" s="278">
        <f t="shared" si="3"/>
        <v>117670.11262000001</v>
      </c>
      <c r="J12" s="169">
        <f t="shared" si="4"/>
        <v>-9.8000000000000007</v>
      </c>
    </row>
    <row r="13" spans="1:10" s="43" customFormat="1" ht="15.75" customHeight="1" x14ac:dyDescent="0.2">
      <c r="A13" s="168"/>
      <c r="B13" s="35"/>
      <c r="C13" s="5"/>
      <c r="D13" s="32"/>
      <c r="E13" s="35"/>
      <c r="F13" s="5"/>
      <c r="G13" s="32"/>
      <c r="H13" s="48"/>
      <c r="I13" s="48"/>
      <c r="J13" s="32"/>
    </row>
    <row r="14" spans="1:10" ht="15.75" customHeight="1" x14ac:dyDescent="0.2">
      <c r="A14" s="153" t="s">
        <v>281</v>
      </c>
    </row>
    <row r="15" spans="1:10" ht="15.75" customHeight="1" x14ac:dyDescent="0.2">
      <c r="A15" s="149"/>
      <c r="E15" s="7"/>
      <c r="F15" s="7"/>
      <c r="G15" s="7"/>
      <c r="H15" s="7"/>
      <c r="I15" s="7"/>
      <c r="J15" s="7"/>
    </row>
    <row r="16" spans="1:10" s="3" customFormat="1" ht="15.75" customHeight="1" x14ac:dyDescent="0.25">
      <c r="A16" s="164"/>
      <c r="C16" s="30"/>
      <c r="D16" s="30"/>
      <c r="E16" s="30"/>
      <c r="F16" s="30"/>
      <c r="G16" s="30"/>
      <c r="H16" s="30"/>
      <c r="I16" s="30"/>
      <c r="J16" s="30"/>
    </row>
    <row r="17" spans="1:11" ht="15.75" customHeight="1" x14ac:dyDescent="0.25">
      <c r="A17" s="147" t="s">
        <v>278</v>
      </c>
      <c r="B17" s="28"/>
      <c r="C17" s="28"/>
      <c r="D17" s="29"/>
      <c r="E17" s="28"/>
      <c r="F17" s="28"/>
      <c r="G17" s="28"/>
      <c r="H17" s="28"/>
      <c r="I17" s="28"/>
      <c r="J17" s="28"/>
    </row>
    <row r="18" spans="1:11" ht="15.75" customHeight="1" x14ac:dyDescent="0.25">
      <c r="A18" s="149"/>
      <c r="B18" s="690"/>
      <c r="C18" s="690"/>
      <c r="D18" s="690"/>
      <c r="E18" s="690"/>
      <c r="F18" s="690"/>
      <c r="G18" s="690"/>
      <c r="H18" s="690"/>
      <c r="I18" s="690"/>
      <c r="J18" s="690"/>
    </row>
    <row r="19" spans="1:11" ht="15.75" customHeight="1" x14ac:dyDescent="0.2">
      <c r="A19" s="144"/>
      <c r="B19" s="691" t="s">
        <v>0</v>
      </c>
      <c r="C19" s="692"/>
      <c r="D19" s="692"/>
      <c r="E19" s="691" t="s">
        <v>1</v>
      </c>
      <c r="F19" s="692"/>
      <c r="G19" s="693"/>
      <c r="H19" s="692" t="s">
        <v>2</v>
      </c>
      <c r="I19" s="692"/>
      <c r="J19" s="693"/>
    </row>
    <row r="20" spans="1:11" ht="15.75" customHeight="1" x14ac:dyDescent="0.2">
      <c r="A20" s="140" t="s">
        <v>5</v>
      </c>
      <c r="B20" s="20" t="s">
        <v>422</v>
      </c>
      <c r="C20" s="20" t="s">
        <v>423</v>
      </c>
      <c r="D20" s="247" t="s">
        <v>3</v>
      </c>
      <c r="E20" s="20" t="s">
        <v>422</v>
      </c>
      <c r="F20" s="20" t="s">
        <v>423</v>
      </c>
      <c r="G20" s="247" t="s">
        <v>3</v>
      </c>
      <c r="H20" s="20" t="s">
        <v>422</v>
      </c>
      <c r="I20" s="20" t="s">
        <v>423</v>
      </c>
      <c r="J20" s="247" t="s">
        <v>3</v>
      </c>
    </row>
    <row r="21" spans="1:11" ht="15.75" customHeight="1" x14ac:dyDescent="0.2">
      <c r="A21" s="666"/>
      <c r="B21" s="15"/>
      <c r="C21" s="15"/>
      <c r="D21" s="17" t="s">
        <v>4</v>
      </c>
      <c r="E21" s="16"/>
      <c r="F21" s="16"/>
      <c r="G21" s="15" t="s">
        <v>4</v>
      </c>
      <c r="H21" s="16"/>
      <c r="I21" s="16"/>
      <c r="J21" s="15" t="s">
        <v>4</v>
      </c>
    </row>
    <row r="22" spans="1:11" s="43" customFormat="1" ht="15.75" customHeight="1" x14ac:dyDescent="0.2">
      <c r="A22" s="14" t="s">
        <v>23</v>
      </c>
      <c r="B22" s="234">
        <f>'Danica Pensjonsforsikring'!B22+'DNB Livsforsikring'!B22+'Eika Forsikring AS'!B22+'Frende Livsforsikring'!B22+'Frende Skadeforsikring'!B22+'Gjensidige Forsikring'!B22+'Gjensidige Pensjon'!B22+'Handelsbanken Liv'!B22+'If Skadeforsikring NUF'!B22+KLP!B22+'KLP Bedriftspensjon AS'!B22+'KLP Skadeforsikring AS'!B22+'Landbruksforsikring AS'!B22+'NEMI Forsikring'!B22+'Nordea Liv '!B22+'Oslo Pensjonsforsikring'!B22+'Protector Forsikring'!B22+'SHB Liv'!B22+'Sparebank 1'!B22+'Storebrand Livsforsikring'!B22+'Telenor Forsikring'!B22+'Tryg Forsikring'!B22</f>
        <v>895767.05928341171</v>
      </c>
      <c r="C22" s="234">
        <f>'Danica Pensjonsforsikring'!C22+'DNB Livsforsikring'!C22+'Eika Forsikring AS'!C22+'Frende Livsforsikring'!C22+'Frende Skadeforsikring'!C22+'Gjensidige Forsikring'!C22+'Gjensidige Pensjon'!C22+'Handelsbanken Liv'!C22+'If Skadeforsikring NUF'!C22+KLP!C22+'KLP Bedriftspensjon AS'!C22+'KLP Skadeforsikring AS'!C22+'Landbruksforsikring AS'!C22+'NEMI Forsikring'!C22+'Nordea Liv '!C22+'Oslo Pensjonsforsikring'!C22+'Protector Forsikring'!C22+'SHB Liv'!C22+'Sparebank 1'!C22+'Storebrand Livsforsikring'!C22+'Telenor Forsikring'!C22+'Tryg Forsikring'!C22</f>
        <v>1034087.1083524066</v>
      </c>
      <c r="D22" s="11">
        <f t="shared" ref="D22:D39" si="5">IF(B22=0, "    ---- ", IF(ABS(ROUND(100/B22*C22-100,1))&lt;999,ROUND(100/B22*C22-100,1),IF(ROUND(100/B22*C22-100,1)&gt;999,999,-999)))</f>
        <v>15.4</v>
      </c>
      <c r="E22" s="234">
        <f>'Danica Pensjonsforsikring'!F22+'DNB Livsforsikring'!F22+'Eika Forsikring AS'!F22+'Frende Livsforsikring'!F22+'Frende Skadeforsikring'!F22+'Gjensidige Forsikring'!F22+'Gjensidige Pensjon'!F22+'Handelsbanken Liv'!F22+'If Skadeforsikring NUF'!F22+KLP!F22+'KLP Bedriftspensjon AS'!F22+'KLP Skadeforsikring AS'!F22+'Landbruksforsikring AS'!F22+'NEMI Forsikring'!F22+'Nordea Liv '!F22+'Oslo Pensjonsforsikring'!F22+'Protector Forsikring'!F22+'SHB Liv'!F22+'Sparebank 1'!F22+'Storebrand Livsforsikring'!F22+'Telenor Forsikring'!F22+'Tryg Forsikring'!F22</f>
        <v>538598.03300000005</v>
      </c>
      <c r="F22" s="234">
        <f>'Danica Pensjonsforsikring'!G22+'DNB Livsforsikring'!G22+'Eika Forsikring AS'!G22+'Frende Livsforsikring'!G22+'Frende Skadeforsikring'!G22+'Gjensidige Forsikring'!G22+'Gjensidige Pensjon'!G22+'Handelsbanken Liv'!G22+'If Skadeforsikring NUF'!G22+KLP!G22+'KLP Bedriftspensjon AS'!G22+'KLP Skadeforsikring AS'!G22+'Landbruksforsikring AS'!G22+'NEMI Forsikring'!G22+'Nordea Liv '!G22+'Oslo Pensjonsforsikring'!G22+'Protector Forsikring'!G22+'SHB Liv'!G22+'Sparebank 1'!G22+'Storebrand Livsforsikring'!G22+'Telenor Forsikring'!G22+'Tryg Forsikring'!G22</f>
        <v>553554.9885199999</v>
      </c>
      <c r="G22" s="347">
        <f t="shared" ref="G22:G35" si="6">IF(E22=0, "    ---- ", IF(ABS(ROUND(100/E22*F22-100,1))&lt;999,ROUND(100/E22*F22-100,1),IF(ROUND(100/E22*F22-100,1)&gt;999,999,-999)))</f>
        <v>2.8</v>
      </c>
      <c r="H22" s="306">
        <f>SUM(B22,E22)</f>
        <v>1434365.0922834119</v>
      </c>
      <c r="I22" s="234">
        <f t="shared" ref="I22:I39" si="7">SUM(C22,F22)</f>
        <v>1587642.0968724065</v>
      </c>
      <c r="J22" s="24">
        <f t="shared" ref="J22:J39" si="8">IF(H22=0, "    ---- ", IF(ABS(ROUND(100/H22*I22-100,1))&lt;999,ROUND(100/H22*I22-100,1),IF(ROUND(100/H22*I22-100,1)&gt;999,999,-999)))</f>
        <v>10.7</v>
      </c>
    </row>
    <row r="23" spans="1:11" ht="15.75" customHeight="1" x14ac:dyDescent="0.2">
      <c r="A23" s="553" t="s">
        <v>374</v>
      </c>
      <c r="B23" s="44">
        <f>'Danica Pensjonsforsikring'!B23+'DNB Livsforsikring'!B23+'Eika Forsikring AS'!B23+'Frende Livsforsikring'!B23+'Frende Skadeforsikring'!B23+'Gjensidige Forsikring'!B23+'Gjensidige Pensjon'!B23+'Handelsbanken Liv'!B23+'If Skadeforsikring NUF'!B23+KLP!B23+'KLP Bedriftspensjon AS'!B23+'KLP Skadeforsikring AS'!B23+'Landbruksforsikring AS'!B23+'NEMI Forsikring'!B23+'Nordea Liv '!B23+'Oslo Pensjonsforsikring'!B23+'Protector Forsikring'!B23+'SHB Liv'!B23+'Sparebank 1'!B23+'Storebrand Livsforsikring'!B23+'Telenor Forsikring'!B23+'Tryg Forsikring'!B23</f>
        <v>641600.60199005168</v>
      </c>
      <c r="C23" s="44">
        <f>'Danica Pensjonsforsikring'!C23+'DNB Livsforsikring'!C23+'Eika Forsikring AS'!C23+'Frende Livsforsikring'!C23+'Frende Skadeforsikring'!C23+'Gjensidige Forsikring'!C23+'Gjensidige Pensjon'!C23+'Handelsbanken Liv'!C23+'If Skadeforsikring NUF'!C23+KLP!C23+'KLP Bedriftspensjon AS'!C23+'KLP Skadeforsikring AS'!C23+'Landbruksforsikring AS'!C23+'NEMI Forsikring'!C23+'Nordea Liv '!C23+'Oslo Pensjonsforsikring'!C23+'Protector Forsikring'!C23+'SHB Liv'!C23+'Sparebank 1'!C23+'Storebrand Livsforsikring'!C23+'Telenor Forsikring'!C23+'Tryg Forsikring'!C23</f>
        <v>760490.41722908069</v>
      </c>
      <c r="D23" s="27">
        <f>IF($A$1=4,IF(B23=0, "    ---- ", IF(ABS(ROUND(100/B23*C23-100,1))&lt;999,ROUND(100/B23*C23-100,1),IF(ROUND(100/B23*C23-100,1)&gt;999,999,-999))),"")</f>
        <v>18.5</v>
      </c>
      <c r="E23" s="44">
        <f>'Danica Pensjonsforsikring'!F23+'DNB Livsforsikring'!F23+'Eika Forsikring AS'!F23+'Frende Livsforsikring'!F23+'Frende Skadeforsikring'!F23+'Gjensidige Forsikring'!F23+'Gjensidige Pensjon'!F23+'Handelsbanken Liv'!F23+'If Skadeforsikring NUF'!F23+KLP!F23+'KLP Bedriftspensjon AS'!F23+'KLP Skadeforsikring AS'!F23+'Landbruksforsikring AS'!F23+'NEMI Forsikring'!F23+'Nordea Liv '!F23+'Oslo Pensjonsforsikring'!F23+'Protector Forsikring'!F23+'SHB Liv'!F23+'Sparebank 1'!F23+'Storebrand Livsforsikring'!F23+'Telenor Forsikring'!F23+'Tryg Forsikring'!F23</f>
        <v>79032.926199999987</v>
      </c>
      <c r="F23" s="44">
        <f>'Danica Pensjonsforsikring'!G23+'DNB Livsforsikring'!G23+'Eika Forsikring AS'!G23+'Frende Livsforsikring'!G23+'Frende Skadeforsikring'!G23+'Gjensidige Forsikring'!G23+'Gjensidige Pensjon'!G23+'Handelsbanken Liv'!G23+'If Skadeforsikring NUF'!G23+KLP!G23+'KLP Bedriftspensjon AS'!G23+'KLP Skadeforsikring AS'!G23+'Landbruksforsikring AS'!G23+'NEMI Forsikring'!G23+'Nordea Liv '!G23+'Oslo Pensjonsforsikring'!G23+'Protector Forsikring'!G23+'SHB Liv'!G23+'Sparebank 1'!G23+'Storebrand Livsforsikring'!G23+'Telenor Forsikring'!G23+'Tryg Forsikring'!G23</f>
        <v>42856.52</v>
      </c>
      <c r="G23" s="166">
        <f>IF($A$1=4,IF(E23=0, "    ---- ", IF(ABS(ROUND(100/E23*F23-100,1))&lt;999,ROUND(100/E23*F23-100,1),IF(ROUND(100/E23*F23-100,1)&gt;999,999,-999))),"")</f>
        <v>-45.8</v>
      </c>
      <c r="H23" s="232">
        <f t="shared" ref="H23:H39" si="9">SUM(B23,E23)</f>
        <v>720633.52819005167</v>
      </c>
      <c r="I23" s="44">
        <f t="shared" si="7"/>
        <v>803346.93722908071</v>
      </c>
      <c r="J23" s="23">
        <f t="shared" si="8"/>
        <v>11.5</v>
      </c>
    </row>
    <row r="24" spans="1:11" ht="15.75" customHeight="1" x14ac:dyDescent="0.2">
      <c r="A24" s="553" t="s">
        <v>375</v>
      </c>
      <c r="B24" s="44">
        <f>'Danica Pensjonsforsikring'!B24+'DNB Livsforsikring'!B24+'Eika Forsikring AS'!B24+'Frende Livsforsikring'!B24+'Frende Skadeforsikring'!B24+'Gjensidige Forsikring'!B24+'Gjensidige Pensjon'!B24+'Handelsbanken Liv'!B24+'If Skadeforsikring NUF'!B24+KLP!B24+'KLP Bedriftspensjon AS'!B24+'KLP Skadeforsikring AS'!B24+'Landbruksforsikring AS'!B24+'NEMI Forsikring'!B24+'Nordea Liv '!B24+'Oslo Pensjonsforsikring'!B24+'Protector Forsikring'!B24+'SHB Liv'!B24+'Sparebank 1'!B24+'Storebrand Livsforsikring'!B24+'Telenor Forsikring'!B24+'Tryg Forsikring'!B24</f>
        <v>7131.1072933602791</v>
      </c>
      <c r="C24" s="44">
        <f>'Danica Pensjonsforsikring'!C24+'DNB Livsforsikring'!C24+'Eika Forsikring AS'!C24+'Frende Livsforsikring'!C24+'Frende Skadeforsikring'!C24+'Gjensidige Forsikring'!C24+'Gjensidige Pensjon'!C24+'Handelsbanken Liv'!C24+'If Skadeforsikring NUF'!C24+KLP!C24+'KLP Bedriftspensjon AS'!C24+'KLP Skadeforsikring AS'!C24+'Landbruksforsikring AS'!C24+'NEMI Forsikring'!C24+'Nordea Liv '!C24+'Oslo Pensjonsforsikring'!C24+'Protector Forsikring'!C24+'SHB Liv'!C24+'Sparebank 1'!C24+'Storebrand Livsforsikring'!C24+'Telenor Forsikring'!C24+'Tryg Forsikring'!C24</f>
        <v>19539.658123325731</v>
      </c>
      <c r="D24" s="27">
        <f t="shared" ref="D24:D25" si="10">IF($A$1=4,IF(B24=0, "    ---- ", IF(ABS(ROUND(100/B24*C24-100,1))&lt;999,ROUND(100/B24*C24-100,1),IF(ROUND(100/B24*C24-100,1)&gt;999,999,-999))),"")</f>
        <v>174</v>
      </c>
      <c r="E24" s="44">
        <f>'Danica Pensjonsforsikring'!F24+'DNB Livsforsikring'!F24+'Eika Forsikring AS'!F24+'Frende Livsforsikring'!F24+'Frende Skadeforsikring'!F24+'Gjensidige Forsikring'!F24+'Gjensidige Pensjon'!F24+'Handelsbanken Liv'!F24+'If Skadeforsikring NUF'!F24+KLP!F24+'KLP Bedriftspensjon AS'!F24+'KLP Skadeforsikring AS'!F24+'Landbruksforsikring AS'!F24+'NEMI Forsikring'!F24+'Nordea Liv '!F24+'Oslo Pensjonsforsikring'!F24+'Protector Forsikring'!F24+'SHB Liv'!F24+'Sparebank 1'!F24+'Storebrand Livsforsikring'!F24+'Telenor Forsikring'!F24+'Tryg Forsikring'!F24</f>
        <v>34873.906910000005</v>
      </c>
      <c r="F24" s="44">
        <f>'Danica Pensjonsforsikring'!G24+'DNB Livsforsikring'!G24+'Eika Forsikring AS'!G24+'Frende Livsforsikring'!G24+'Frende Skadeforsikring'!G24+'Gjensidige Forsikring'!G24+'Gjensidige Pensjon'!G24+'Handelsbanken Liv'!G24+'If Skadeforsikring NUF'!G24+KLP!G24+'KLP Bedriftspensjon AS'!G24+'KLP Skadeforsikring AS'!G24+'Landbruksforsikring AS'!G24+'NEMI Forsikring'!G24+'Nordea Liv '!G24+'Oslo Pensjonsforsikring'!G24+'Protector Forsikring'!G24+'SHB Liv'!G24+'Sparebank 1'!G24+'Storebrand Livsforsikring'!G24+'Telenor Forsikring'!G24+'Tryg Forsikring'!G24</f>
        <v>987.41569000000004</v>
      </c>
      <c r="G24" s="166">
        <f t="shared" ref="G24:G25" si="11">IF($A$1=4,IF(E24=0, "    ---- ", IF(ABS(ROUND(100/E24*F24-100,1))&lt;999,ROUND(100/E24*F24-100,1),IF(ROUND(100/E24*F24-100,1)&gt;999,999,-999))),"")</f>
        <v>-97.2</v>
      </c>
      <c r="H24" s="232">
        <f t="shared" si="9"/>
        <v>42005.014203360282</v>
      </c>
      <c r="I24" s="44">
        <f t="shared" si="7"/>
        <v>20527.073813325733</v>
      </c>
      <c r="J24" s="11">
        <f t="shared" si="8"/>
        <v>-51.1</v>
      </c>
    </row>
    <row r="25" spans="1:11" ht="15.75" customHeight="1" x14ac:dyDescent="0.2">
      <c r="A25" s="553" t="s">
        <v>376</v>
      </c>
      <c r="B25" s="44">
        <f>'Danica Pensjonsforsikring'!B25+'DNB Livsforsikring'!B25+'Eika Forsikring AS'!B25+'Frende Livsforsikring'!B25+'Frende Skadeforsikring'!B25+'Gjensidige Forsikring'!B25+'Gjensidige Pensjon'!B25+'Handelsbanken Liv'!B25+'If Skadeforsikring NUF'!B25+KLP!B25+'KLP Bedriftspensjon AS'!B25+'KLP Skadeforsikring AS'!B25+'Landbruksforsikring AS'!B25+'NEMI Forsikring'!B25+'Nordea Liv '!B25+'Oslo Pensjonsforsikring'!B25+'Protector Forsikring'!B25+'SHB Liv'!B25+'Sparebank 1'!B25+'Storebrand Livsforsikring'!B25+'Telenor Forsikring'!B25+'Tryg Forsikring'!B25</f>
        <v>35712</v>
      </c>
      <c r="C25" s="44">
        <f>'Danica Pensjonsforsikring'!C25+'DNB Livsforsikring'!C25+'Eika Forsikring AS'!C25+'Frende Livsforsikring'!C25+'Frende Skadeforsikring'!C25+'Gjensidige Forsikring'!C25+'Gjensidige Pensjon'!C25+'Handelsbanken Liv'!C25+'If Skadeforsikring NUF'!C25+KLP!C25+'KLP Bedriftspensjon AS'!C25+'KLP Skadeforsikring AS'!C25+'Landbruksforsikring AS'!C25+'NEMI Forsikring'!C25+'Nordea Liv '!C25+'Oslo Pensjonsforsikring'!C25+'Protector Forsikring'!C25+'SHB Liv'!C25+'Sparebank 1'!C25+'Storebrand Livsforsikring'!C25+'Telenor Forsikring'!C25+'Tryg Forsikring'!C25</f>
        <v>18916.206999999999</v>
      </c>
      <c r="D25" s="27">
        <f t="shared" si="10"/>
        <v>-47</v>
      </c>
      <c r="E25" s="44">
        <f>'Danica Pensjonsforsikring'!F25+'DNB Livsforsikring'!F25+'Eika Forsikring AS'!F25+'Frende Livsforsikring'!F25+'Frende Skadeforsikring'!F25+'Gjensidige Forsikring'!F25+'Gjensidige Pensjon'!F25+'Handelsbanken Liv'!F25+'If Skadeforsikring NUF'!F25+KLP!F25+'KLP Bedriftspensjon AS'!F25+'KLP Skadeforsikring AS'!F25+'Landbruksforsikring AS'!F25+'NEMI Forsikring'!F25+'Nordea Liv '!F25+'Oslo Pensjonsforsikring'!F25+'Protector Forsikring'!F25+'SHB Liv'!F25+'Sparebank 1'!F25+'Storebrand Livsforsikring'!F25+'Telenor Forsikring'!F25+'Tryg Forsikring'!F25</f>
        <v>54453.116110000003</v>
      </c>
      <c r="F25" s="44">
        <f>'Danica Pensjonsforsikring'!G25+'DNB Livsforsikring'!G25+'Eika Forsikring AS'!G25+'Frende Livsforsikring'!G25+'Frende Skadeforsikring'!G25+'Gjensidige Forsikring'!G25+'Gjensidige Pensjon'!G25+'Handelsbanken Liv'!G25+'If Skadeforsikring NUF'!G25+KLP!G25+'KLP Bedriftspensjon AS'!G25+'KLP Skadeforsikring AS'!G25+'Landbruksforsikring AS'!G25+'NEMI Forsikring'!G25+'Nordea Liv '!G25+'Oslo Pensjonsforsikring'!G25+'Protector Forsikring'!G25+'SHB Liv'!G25+'Sparebank 1'!G25+'Storebrand Livsforsikring'!G25+'Telenor Forsikring'!G25+'Tryg Forsikring'!G25</f>
        <v>20170.102359999997</v>
      </c>
      <c r="G25" s="166">
        <f t="shared" si="11"/>
        <v>-63</v>
      </c>
      <c r="H25" s="232">
        <f t="shared" si="9"/>
        <v>90165.116110000003</v>
      </c>
      <c r="I25" s="44">
        <f t="shared" si="7"/>
        <v>39086.309359999999</v>
      </c>
      <c r="J25" s="27">
        <f t="shared" si="8"/>
        <v>-56.7</v>
      </c>
    </row>
    <row r="26" spans="1:11" ht="15.75" customHeight="1" x14ac:dyDescent="0.2">
      <c r="A26" s="553" t="s">
        <v>377</v>
      </c>
      <c r="B26" s="44">
        <f>'Danica Pensjonsforsikring'!B26+'DNB Livsforsikring'!B26+'Eika Forsikring AS'!B26+'Frende Livsforsikring'!B26+'Frende Skadeforsikring'!B26+'Gjensidige Forsikring'!B26+'Gjensidige Pensjon'!B26+'Handelsbanken Liv'!B26+'If Skadeforsikring NUF'!B26+KLP!B26+'KLP Bedriftspensjon AS'!B26+'KLP Skadeforsikring AS'!B26+'Landbruksforsikring AS'!B26+'NEMI Forsikring'!B26+'Nordea Liv '!B26+'Oslo Pensjonsforsikring'!B26+'Protector Forsikring'!B26+'SHB Liv'!B26+'Sparebank 1'!B26+'Storebrand Livsforsikring'!B26+'Telenor Forsikring'!B26+'Tryg Forsikring'!B26</f>
        <v>0</v>
      </c>
      <c r="C26" s="44">
        <f>'Danica Pensjonsforsikring'!C26+'DNB Livsforsikring'!C26+'Eika Forsikring AS'!C26+'Frende Livsforsikring'!C26+'Frende Skadeforsikring'!C26+'Gjensidige Forsikring'!C26+'Gjensidige Pensjon'!C26+'Handelsbanken Liv'!C26+'If Skadeforsikring NUF'!C26+KLP!C26+'KLP Bedriftspensjon AS'!C26+'KLP Skadeforsikring AS'!C26+'Landbruksforsikring AS'!C26+'NEMI Forsikring'!C26+'Nordea Liv '!C26+'Oslo Pensjonsforsikring'!C26+'Protector Forsikring'!C26+'SHB Liv'!C26+'Sparebank 1'!C26+'Storebrand Livsforsikring'!C26+'Telenor Forsikring'!C26+'Tryg Forsikring'!C26</f>
        <v>0</v>
      </c>
      <c r="D26" s="27"/>
      <c r="E26" s="44">
        <f>'Danica Pensjonsforsikring'!F26+'DNB Livsforsikring'!F26+'Eika Forsikring AS'!F26+'Frende Livsforsikring'!F26+'Frende Skadeforsikring'!F26+'Gjensidige Forsikring'!F26+'Gjensidige Pensjon'!F26+'Handelsbanken Liv'!F26+'If Skadeforsikring NUF'!F26+KLP!F26+'KLP Bedriftspensjon AS'!F26+'KLP Skadeforsikring AS'!F26+'Landbruksforsikring AS'!F26+'NEMI Forsikring'!F26+'Nordea Liv '!F26+'Oslo Pensjonsforsikring'!F26+'Protector Forsikring'!F26+'SHB Liv'!F26+'Sparebank 1'!F26+'Storebrand Livsforsikring'!F26+'Telenor Forsikring'!F26+'Tryg Forsikring'!F26</f>
        <v>370437.56078000006</v>
      </c>
      <c r="F26" s="44">
        <f>'Danica Pensjonsforsikring'!G26+'DNB Livsforsikring'!G26+'Eika Forsikring AS'!G26+'Frende Livsforsikring'!G26+'Frende Skadeforsikring'!G26+'Gjensidige Forsikring'!G26+'Gjensidige Pensjon'!G26+'Handelsbanken Liv'!G26+'If Skadeforsikring NUF'!G26+KLP!G26+'KLP Bedriftspensjon AS'!G26+'KLP Skadeforsikring AS'!G26+'Landbruksforsikring AS'!G26+'NEMI Forsikring'!G26+'Nordea Liv '!G26+'Oslo Pensjonsforsikring'!G26+'Protector Forsikring'!G26+'SHB Liv'!G26+'Sparebank 1'!G26+'Storebrand Livsforsikring'!G26+'Telenor Forsikring'!G26+'Tryg Forsikring'!G26</f>
        <v>489986.37446999998</v>
      </c>
      <c r="G26" s="166">
        <f t="shared" ref="G26" si="12">IF($A$1=4,IF(E26=0, "    ---- ", IF(ABS(ROUND(100/E26*F26-100,1))&lt;999,ROUND(100/E26*F26-100,1),IF(ROUND(100/E26*F26-100,1)&gt;999,999,-999))),"")</f>
        <v>32.299999999999997</v>
      </c>
      <c r="H26" s="232">
        <f t="shared" ref="H26" si="13">SUM(B26,E26)</f>
        <v>370437.56078000006</v>
      </c>
      <c r="I26" s="44">
        <f t="shared" ref="I26" si="14">SUM(C26,F26)</f>
        <v>489986.37446999998</v>
      </c>
      <c r="J26" s="27">
        <f t="shared" ref="J26" si="15">IF(H26=0, "    ---- ", IF(ABS(ROUND(100/H26*I26-100,1))&lt;999,ROUND(100/H26*I26-100,1),IF(ROUND(100/H26*I26-100,1)&gt;999,999,-999)))</f>
        <v>32.299999999999997</v>
      </c>
    </row>
    <row r="27" spans="1:11" ht="15.75" customHeight="1" x14ac:dyDescent="0.2">
      <c r="A27" s="551" t="s">
        <v>11</v>
      </c>
      <c r="B27" s="44">
        <f>'Danica Pensjonsforsikring'!B27+'DNB Livsforsikring'!B27+'Eika Forsikring AS'!B27+'Frende Livsforsikring'!B27+'Frende Skadeforsikring'!B27+'Gjensidige Forsikring'!B27+'Gjensidige Pensjon'!B27+'Handelsbanken Liv'!B27+'If Skadeforsikring NUF'!B27+KLP!B27+'KLP Bedriftspensjon AS'!B27+'KLP Skadeforsikring AS'!B27+'Landbruksforsikring AS'!B27+'NEMI Forsikring'!B27+'Nordea Liv '!B27+'Oslo Pensjonsforsikring'!B27+'Protector Forsikring'!B27+'SHB Liv'!B27+'Sparebank 1'!B27+'Storebrand Livsforsikring'!B27+'Telenor Forsikring'!B27+'Tryg Forsikring'!B27</f>
        <v>0</v>
      </c>
      <c r="C27" s="44">
        <f>'Danica Pensjonsforsikring'!C27+'DNB Livsforsikring'!C27+'Eika Forsikring AS'!C27+'Frende Livsforsikring'!C27+'Frende Skadeforsikring'!C27+'Gjensidige Forsikring'!C27+'Gjensidige Pensjon'!C27+'Handelsbanken Liv'!C27+'If Skadeforsikring NUF'!C27+KLP!C27+'KLP Bedriftspensjon AS'!C27+'KLP Skadeforsikring AS'!C27+'Landbruksforsikring AS'!C27+'NEMI Forsikring'!C27+'Nordea Liv '!C27+'Oslo Pensjonsforsikring'!C27+'Protector Forsikring'!C27+'SHB Liv'!C27+'Sparebank 1'!C27+'Storebrand Livsforsikring'!C27+'Telenor Forsikring'!C27+'Tryg Forsikring'!C27</f>
        <v>0</v>
      </c>
      <c r="D27" s="27"/>
      <c r="E27" s="44">
        <f>'Danica Pensjonsforsikring'!F27+'DNB Livsforsikring'!F27+'Eika Forsikring AS'!F27+'Frende Livsforsikring'!F27+'Frende Skadeforsikring'!F27+'Gjensidige Forsikring'!F27+'Gjensidige Pensjon'!F27+'Handelsbanken Liv'!F27+'If Skadeforsikring NUF'!F27+KLP!F27+'KLP Bedriftspensjon AS'!F27+'KLP Skadeforsikring AS'!F27+'Landbruksforsikring AS'!F27+'NEMI Forsikring'!F27+'Nordea Liv '!F27+'Oslo Pensjonsforsikring'!F27+'Protector Forsikring'!F27+'SHB Liv'!F27+'Sparebank 1'!F27+'Storebrand Livsforsikring'!F27+'Telenor Forsikring'!F27+'Tryg Forsikring'!F27</f>
        <v>0</v>
      </c>
      <c r="F27" s="44">
        <f>'Danica Pensjonsforsikring'!G27+'DNB Livsforsikring'!G27+'Eika Forsikring AS'!G27+'Frende Livsforsikring'!G27+'Frende Skadeforsikring'!G27+'Gjensidige Forsikring'!G27+'Gjensidige Pensjon'!G27+'Handelsbanken Liv'!G27+'If Skadeforsikring NUF'!G27+KLP!G27+'KLP Bedriftspensjon AS'!G27+'KLP Skadeforsikring AS'!G27+'Landbruksforsikring AS'!G27+'NEMI Forsikring'!G27+'Nordea Liv '!G27+'Oslo Pensjonsforsikring'!G27+'Protector Forsikring'!G27+'SHB Liv'!G27+'Sparebank 1'!G27+'Storebrand Livsforsikring'!G27+'Telenor Forsikring'!G27+'Tryg Forsikring'!G27</f>
        <v>0</v>
      </c>
      <c r="G27" s="166"/>
      <c r="H27" s="232">
        <f t="shared" si="9"/>
        <v>0</v>
      </c>
      <c r="I27" s="44">
        <f t="shared" si="7"/>
        <v>0</v>
      </c>
      <c r="J27" s="27"/>
    </row>
    <row r="28" spans="1:11" ht="15.75" customHeight="1" x14ac:dyDescent="0.2">
      <c r="A28" s="49" t="s">
        <v>282</v>
      </c>
      <c r="B28" s="44">
        <f>'Danica Pensjonsforsikring'!B28+'DNB Livsforsikring'!B28+'Eika Forsikring AS'!B28+'Frende Livsforsikring'!B28+'Frende Skadeforsikring'!B28+'Gjensidige Forsikring'!B28+'Gjensidige Pensjon'!B28+'Handelsbanken Liv'!B28+'If Skadeforsikring NUF'!B28+KLP!B28+'KLP Bedriftspensjon AS'!B28+'KLP Skadeforsikring AS'!B28+'Landbruksforsikring AS'!B28+'NEMI Forsikring'!B28+'Nordea Liv '!B28+'Oslo Pensjonsforsikring'!B28+'Protector Forsikring'!B28+'SHB Liv'!B28+'Sparebank 1'!B28+'Storebrand Livsforsikring'!B28+'Telenor Forsikring'!B28+'Tryg Forsikring'!B28</f>
        <v>1092836.0286224226</v>
      </c>
      <c r="C28" s="44">
        <f>'Danica Pensjonsforsikring'!C28+'DNB Livsforsikring'!C28+'Eika Forsikring AS'!C28+'Frende Livsforsikring'!C28+'Frende Skadeforsikring'!C28+'Gjensidige Forsikring'!C28+'Gjensidige Pensjon'!C28+'Handelsbanken Liv'!C28+'If Skadeforsikring NUF'!C28+KLP!C28+'KLP Bedriftspensjon AS'!C28+'KLP Skadeforsikring AS'!C28+'Landbruksforsikring AS'!C28+'NEMI Forsikring'!C28+'Nordea Liv '!C28+'Oslo Pensjonsforsikring'!C28+'Protector Forsikring'!C28+'SHB Liv'!C28+'Sparebank 1'!C28+'Storebrand Livsforsikring'!C28+'Telenor Forsikring'!C28+'Tryg Forsikring'!C28</f>
        <v>1046230.0799858777</v>
      </c>
      <c r="D28" s="23">
        <f t="shared" si="5"/>
        <v>-4.3</v>
      </c>
      <c r="E28" s="186">
        <f>'Danica Pensjonsforsikring'!F28+'DNB Livsforsikring'!F28+'Eika Forsikring AS'!F28+'Frende Livsforsikring'!F28+'Frende Skadeforsikring'!F28+'Gjensidige Forsikring'!F28+'Gjensidige Pensjon'!F28+'Handelsbanken Liv'!F28+'If Skadeforsikring NUF'!F28+KLP!F28+'KLP Bedriftspensjon AS'!F28+'KLP Skadeforsikring AS'!F28+'Landbruksforsikring AS'!F28+'NEMI Forsikring'!F28+'Nordea Liv '!F28+'Oslo Pensjonsforsikring'!F28+'Protector Forsikring'!F28+'SHB Liv'!F28+'Sparebank 1'!F28+'Storebrand Livsforsikring'!F28+'Telenor Forsikring'!F28+'Tryg Forsikring'!F28</f>
        <v>0</v>
      </c>
      <c r="F28" s="186">
        <f>'Danica Pensjonsforsikring'!G28+'DNB Livsforsikring'!G28+'Eika Forsikring AS'!G28+'Frende Livsforsikring'!G28+'Frende Skadeforsikring'!G28+'Gjensidige Forsikring'!G28+'Gjensidige Pensjon'!G28+'Handelsbanken Liv'!G28+'If Skadeforsikring NUF'!G28+KLP!G28+'KLP Bedriftspensjon AS'!G28+'KLP Skadeforsikring AS'!G28+'Landbruksforsikring AS'!G28+'NEMI Forsikring'!G28+'Nordea Liv '!G28+'Oslo Pensjonsforsikring'!G28+'Protector Forsikring'!G28+'SHB Liv'!G28+'Sparebank 1'!G28+'Storebrand Livsforsikring'!G28+'Telenor Forsikring'!G28+'Tryg Forsikring'!G28</f>
        <v>0</v>
      </c>
      <c r="G28" s="166"/>
      <c r="H28" s="232">
        <f t="shared" si="9"/>
        <v>1092836.0286224226</v>
      </c>
      <c r="I28" s="44">
        <f t="shared" si="7"/>
        <v>1046230.0799858777</v>
      </c>
      <c r="J28" s="23">
        <f t="shared" si="8"/>
        <v>-4.3</v>
      </c>
      <c r="K28" s="3"/>
    </row>
    <row r="29" spans="1:11" s="366" customFormat="1" ht="15.75" customHeight="1" x14ac:dyDescent="0.2">
      <c r="A29" s="39" t="s">
        <v>378</v>
      </c>
      <c r="B29" s="234">
        <f>'Danica Pensjonsforsikring'!B29+'DNB Livsforsikring'!B29+'Eika Forsikring AS'!B29+'Frende Livsforsikring'!B29+'Frende Skadeforsikring'!B29+'Gjensidige Forsikring'!B29+'Gjensidige Pensjon'!B29+'Handelsbanken Liv'!B29+'If Skadeforsikring NUF'!B29+KLP!B29+'KLP Bedriftspensjon AS'!B29+'KLP Skadeforsikring AS'!B29+'Landbruksforsikring AS'!B29+'NEMI Forsikring'!B29+'Nordea Liv '!B29+'Oslo Pensjonsforsikring'!B29+'Protector Forsikring'!B29+'SHB Liv'!B29+'Sparebank 1'!B29+'Storebrand Livsforsikring'!B29+'Telenor Forsikring'!B29+'Tryg Forsikring'!B29</f>
        <v>49473380.099160001</v>
      </c>
      <c r="C29" s="234">
        <f>'Danica Pensjonsforsikring'!C29+'DNB Livsforsikring'!C29+'Eika Forsikring AS'!C29+'Frende Livsforsikring'!C29+'Frende Skadeforsikring'!C29+'Gjensidige Forsikring'!C29+'Gjensidige Pensjon'!C29+'Handelsbanken Liv'!C29+'If Skadeforsikring NUF'!C29+KLP!C29+'KLP Bedriftspensjon AS'!C29+'KLP Skadeforsikring AS'!C29+'Landbruksforsikring AS'!C29+'NEMI Forsikring'!C29+'Nordea Liv '!C29+'Oslo Pensjonsforsikring'!C29+'Protector Forsikring'!C29+'SHB Liv'!C29+'Sparebank 1'!C29+'Storebrand Livsforsikring'!C29+'Telenor Forsikring'!C29+'Tryg Forsikring'!C29</f>
        <v>47456724.740865126</v>
      </c>
      <c r="D29" s="24">
        <f t="shared" si="5"/>
        <v>-4.0999999999999996</v>
      </c>
      <c r="E29" s="306">
        <f>'Danica Pensjonsforsikring'!F29+'DNB Livsforsikring'!F29+'Eika Forsikring AS'!F29+'Frende Livsforsikring'!F29+'Frende Skadeforsikring'!F29+'Gjensidige Forsikring'!F29+'Gjensidige Pensjon'!F29+'Handelsbanken Liv'!F29+'If Skadeforsikring NUF'!F29+KLP!F29+'KLP Bedriftspensjon AS'!F29+'KLP Skadeforsikring AS'!F29+'Landbruksforsikring AS'!F29+'NEMI Forsikring'!F29+'Nordea Liv '!F29+'Oslo Pensjonsforsikring'!F29+'Protector Forsikring'!F29+'SHB Liv'!F29+'Sparebank 1'!F29+'Storebrand Livsforsikring'!F29+'Telenor Forsikring'!F29+'Tryg Forsikring'!F29</f>
        <v>20370842.341710001</v>
      </c>
      <c r="F29" s="306">
        <f>'Danica Pensjonsforsikring'!G29+'DNB Livsforsikring'!G29+'Eika Forsikring AS'!G29+'Frende Livsforsikring'!G29+'Frende Skadeforsikring'!G29+'Gjensidige Forsikring'!G29+'Gjensidige Pensjon'!G29+'Handelsbanken Liv'!G29+'If Skadeforsikring NUF'!G29+KLP!G29+'KLP Bedriftspensjon AS'!G29+'KLP Skadeforsikring AS'!G29+'Landbruksforsikring AS'!G29+'NEMI Forsikring'!G29+'Nordea Liv '!G29+'Oslo Pensjonsforsikring'!G29+'Protector Forsikring'!G29+'SHB Liv'!G29+'Sparebank 1'!G29+'Storebrand Livsforsikring'!G29+'Telenor Forsikring'!G29+'Tryg Forsikring'!G29</f>
        <v>20431887.880460002</v>
      </c>
      <c r="G29" s="171">
        <f t="shared" si="6"/>
        <v>0.3</v>
      </c>
      <c r="H29" s="306">
        <f t="shared" si="9"/>
        <v>69844222.440870002</v>
      </c>
      <c r="I29" s="234">
        <f t="shared" si="7"/>
        <v>67888612.621325135</v>
      </c>
      <c r="J29" s="24">
        <f t="shared" si="8"/>
        <v>-2.8</v>
      </c>
    </row>
    <row r="30" spans="1:11" s="3" customFormat="1" ht="15.75" customHeight="1" x14ac:dyDescent="0.2">
      <c r="A30" s="553" t="s">
        <v>374</v>
      </c>
      <c r="B30" s="44">
        <f>'Danica Pensjonsforsikring'!B30+'DNB Livsforsikring'!B30+'Eika Forsikring AS'!B30+'Frende Livsforsikring'!B30+'Frende Skadeforsikring'!B30+'Gjensidige Forsikring'!B30+'Gjensidige Pensjon'!B30+'Handelsbanken Liv'!B30+'If Skadeforsikring NUF'!B30+KLP!B30+'KLP Bedriftspensjon AS'!B30+'KLP Skadeforsikring AS'!B30+'Landbruksforsikring AS'!B30+'NEMI Forsikring'!B30+'Nordea Liv '!B30+'Oslo Pensjonsforsikring'!B30+'Protector Forsikring'!B30+'SHB Liv'!B30+'Sparebank 1'!B30+'Storebrand Livsforsikring'!B30+'Telenor Forsikring'!B30+'Tryg Forsikring'!B30</f>
        <v>11809856.257649817</v>
      </c>
      <c r="C30" s="44">
        <f>'Danica Pensjonsforsikring'!C30+'DNB Livsforsikring'!C30+'Eika Forsikring AS'!C30+'Frende Livsforsikring'!C30+'Frende Skadeforsikring'!C30+'Gjensidige Forsikring'!C30+'Gjensidige Pensjon'!C30+'Handelsbanken Liv'!C30+'If Skadeforsikring NUF'!C30+KLP!C30+'KLP Bedriftspensjon AS'!C30+'KLP Skadeforsikring AS'!C30+'Landbruksforsikring AS'!C30+'NEMI Forsikring'!C30+'Nordea Liv '!C30+'Oslo Pensjonsforsikring'!C30+'Protector Forsikring'!C30+'SHB Liv'!C30+'Sparebank 1'!C30+'Storebrand Livsforsikring'!C30+'Telenor Forsikring'!C30+'Tryg Forsikring'!C30</f>
        <v>10461347.436277229</v>
      </c>
      <c r="D30" s="27">
        <f t="shared" ref="D30:D32" si="16">IF($A$1=4,IF(B30=0, "    ---- ", IF(ABS(ROUND(100/B30*C30-100,1))&lt;999,ROUND(100/B30*C30-100,1),IF(ROUND(100/B30*C30-100,1)&gt;999,999,-999))),"")</f>
        <v>-11.4</v>
      </c>
      <c r="E30" s="44">
        <f>'Danica Pensjonsforsikring'!F30+'DNB Livsforsikring'!F30+'Eika Forsikring AS'!F30+'Frende Livsforsikring'!F30+'Frende Skadeforsikring'!F30+'Gjensidige Forsikring'!F30+'Gjensidige Pensjon'!F30+'Handelsbanken Liv'!F30+'If Skadeforsikring NUF'!F30+KLP!F30+'KLP Bedriftspensjon AS'!F30+'KLP Skadeforsikring AS'!F30+'Landbruksforsikring AS'!F30+'NEMI Forsikring'!F30+'Nordea Liv '!F30+'Oslo Pensjonsforsikring'!F30+'Protector Forsikring'!F30+'SHB Liv'!F30+'Sparebank 1'!F30+'Storebrand Livsforsikring'!F30+'Telenor Forsikring'!F30+'Tryg Forsikring'!F30</f>
        <v>4359288.1764800008</v>
      </c>
      <c r="F30" s="44">
        <f>'Danica Pensjonsforsikring'!G30+'DNB Livsforsikring'!G30+'Eika Forsikring AS'!G30+'Frende Livsforsikring'!G30+'Frende Skadeforsikring'!G30+'Gjensidige Forsikring'!G30+'Gjensidige Pensjon'!G30+'Handelsbanken Liv'!G30+'If Skadeforsikring NUF'!G30+KLP!G30+'KLP Bedriftspensjon AS'!G30+'KLP Skadeforsikring AS'!G30+'Landbruksforsikring AS'!G30+'NEMI Forsikring'!G30+'Nordea Liv '!G30+'Oslo Pensjonsforsikring'!G30+'Protector Forsikring'!G30+'SHB Liv'!G30+'Sparebank 1'!G30+'Storebrand Livsforsikring'!G30+'Telenor Forsikring'!G30+'Tryg Forsikring'!G30</f>
        <v>4255735.0347600011</v>
      </c>
      <c r="G30" s="166">
        <f t="shared" ref="G30:G32" si="17">IF($A$1=4,IF(E30=0, "    ---- ", IF(ABS(ROUND(100/E30*F30-100,1))&lt;999,ROUND(100/E30*F30-100,1),IF(ROUND(100/E30*F30-100,1)&gt;999,999,-999))),"")</f>
        <v>-2.4</v>
      </c>
      <c r="H30" s="232">
        <f t="shared" si="9"/>
        <v>16169144.434129817</v>
      </c>
      <c r="I30" s="44">
        <f t="shared" si="7"/>
        <v>14717082.471037231</v>
      </c>
      <c r="J30" s="23">
        <f t="shared" si="8"/>
        <v>-9</v>
      </c>
    </row>
    <row r="31" spans="1:11" s="3" customFormat="1" ht="15.75" customHeight="1" x14ac:dyDescent="0.2">
      <c r="A31" s="553" t="s">
        <v>375</v>
      </c>
      <c r="B31" s="44">
        <f>'Danica Pensjonsforsikring'!B31+'DNB Livsforsikring'!B31+'Eika Forsikring AS'!B31+'Frende Livsforsikring'!B31+'Frende Skadeforsikring'!B31+'Gjensidige Forsikring'!B31+'Gjensidige Pensjon'!B31+'Handelsbanken Liv'!B31+'If Skadeforsikring NUF'!B31+KLP!B31+'KLP Bedriftspensjon AS'!B31+'KLP Skadeforsikring AS'!B31+'Landbruksforsikring AS'!B31+'NEMI Forsikring'!B31+'Nordea Liv '!B31+'Oslo Pensjonsforsikring'!B31+'Protector Forsikring'!B31+'SHB Liv'!B31+'Sparebank 1'!B31+'Storebrand Livsforsikring'!B31+'Telenor Forsikring'!B31+'Tryg Forsikring'!B31</f>
        <v>34778276.79151018</v>
      </c>
      <c r="C31" s="44">
        <f>'Danica Pensjonsforsikring'!C31+'DNB Livsforsikring'!C31+'Eika Forsikring AS'!C31+'Frende Livsforsikring'!C31+'Frende Skadeforsikring'!C31+'Gjensidige Forsikring'!C31+'Gjensidige Pensjon'!C31+'Handelsbanken Liv'!C31+'If Skadeforsikring NUF'!C31+KLP!C31+'KLP Bedriftspensjon AS'!C31+'KLP Skadeforsikring AS'!C31+'Landbruksforsikring AS'!C31+'NEMI Forsikring'!C31+'Nordea Liv '!C31+'Oslo Pensjonsforsikring'!C31+'Protector Forsikring'!C31+'SHB Liv'!C31+'Sparebank 1'!C31+'Storebrand Livsforsikring'!C31+'Telenor Forsikring'!C31+'Tryg Forsikring'!C31</f>
        <v>33641061.288587891</v>
      </c>
      <c r="D31" s="27">
        <f t="shared" si="16"/>
        <v>-3.3</v>
      </c>
      <c r="E31" s="44">
        <f>'Danica Pensjonsforsikring'!F31+'DNB Livsforsikring'!F31+'Eika Forsikring AS'!F31+'Frende Livsforsikring'!F31+'Frende Skadeforsikring'!F31+'Gjensidige Forsikring'!F31+'Gjensidige Pensjon'!F31+'Handelsbanken Liv'!F31+'If Skadeforsikring NUF'!F31+KLP!F31+'KLP Bedriftspensjon AS'!F31+'KLP Skadeforsikring AS'!F31+'Landbruksforsikring AS'!F31+'NEMI Forsikring'!F31+'Nordea Liv '!F31+'Oslo Pensjonsforsikring'!F31+'Protector Forsikring'!F31+'SHB Liv'!F31+'Sparebank 1'!F31+'Storebrand Livsforsikring'!F31+'Telenor Forsikring'!F31+'Tryg Forsikring'!F31</f>
        <v>10596871.87968</v>
      </c>
      <c r="F31" s="44">
        <f>'Danica Pensjonsforsikring'!G31+'DNB Livsforsikring'!G31+'Eika Forsikring AS'!G31+'Frende Livsforsikring'!G31+'Frende Skadeforsikring'!G31+'Gjensidige Forsikring'!G31+'Gjensidige Pensjon'!G31+'Handelsbanken Liv'!G31+'If Skadeforsikring NUF'!G31+KLP!G31+'KLP Bedriftspensjon AS'!G31+'KLP Skadeforsikring AS'!G31+'Landbruksforsikring AS'!G31+'NEMI Forsikring'!G31+'Nordea Liv '!G31+'Oslo Pensjonsforsikring'!G31+'Protector Forsikring'!G31+'SHB Liv'!G31+'Sparebank 1'!G31+'Storebrand Livsforsikring'!G31+'Telenor Forsikring'!G31+'Tryg Forsikring'!G31</f>
        <v>9341576.3026700001</v>
      </c>
      <c r="G31" s="166">
        <f t="shared" si="17"/>
        <v>-11.8</v>
      </c>
      <c r="H31" s="232">
        <f t="shared" si="9"/>
        <v>45375148.67119018</v>
      </c>
      <c r="I31" s="44">
        <f t="shared" si="7"/>
        <v>42982637.591257893</v>
      </c>
      <c r="J31" s="23">
        <f t="shared" si="8"/>
        <v>-5.3</v>
      </c>
    </row>
    <row r="32" spans="1:11" ht="15.75" customHeight="1" x14ac:dyDescent="0.2">
      <c r="A32" s="553" t="s">
        <v>376</v>
      </c>
      <c r="B32" s="44">
        <f>'Danica Pensjonsforsikring'!B32+'DNB Livsforsikring'!B32+'Eika Forsikring AS'!B32+'Frende Livsforsikring'!B32+'Frende Skadeforsikring'!B32+'Gjensidige Forsikring'!B32+'Gjensidige Pensjon'!B32+'Handelsbanken Liv'!B32+'If Skadeforsikring NUF'!B32+KLP!B32+'KLP Bedriftspensjon AS'!B32+'KLP Skadeforsikring AS'!B32+'Landbruksforsikring AS'!B32+'NEMI Forsikring'!B32+'Nordea Liv '!B32+'Oslo Pensjonsforsikring'!B32+'Protector Forsikring'!B32+'SHB Liv'!B32+'Sparebank 1'!B32+'Storebrand Livsforsikring'!B32+'Telenor Forsikring'!B32+'Tryg Forsikring'!B32</f>
        <v>1333072.2379999999</v>
      </c>
      <c r="C32" s="44">
        <f>'Danica Pensjonsforsikring'!C32+'DNB Livsforsikring'!C32+'Eika Forsikring AS'!C32+'Frende Livsforsikring'!C32+'Frende Skadeforsikring'!C32+'Gjensidige Forsikring'!C32+'Gjensidige Pensjon'!C32+'Handelsbanken Liv'!C32+'If Skadeforsikring NUF'!C32+KLP!C32+'KLP Bedriftspensjon AS'!C32+'KLP Skadeforsikring AS'!C32+'Landbruksforsikring AS'!C32+'NEMI Forsikring'!C32+'Nordea Liv '!C32+'Oslo Pensjonsforsikring'!C32+'Protector Forsikring'!C32+'SHB Liv'!C32+'Sparebank 1'!C32+'Storebrand Livsforsikring'!C32+'Telenor Forsikring'!C32+'Tryg Forsikring'!C32</f>
        <v>1450649.3699999999</v>
      </c>
      <c r="D32" s="27">
        <f t="shared" si="16"/>
        <v>8.8000000000000007</v>
      </c>
      <c r="E32" s="44">
        <f>'Danica Pensjonsforsikring'!F32+'DNB Livsforsikring'!F32+'Eika Forsikring AS'!F32+'Frende Livsforsikring'!F32+'Frende Skadeforsikring'!F32+'Gjensidige Forsikring'!F32+'Gjensidige Pensjon'!F32+'Handelsbanken Liv'!F32+'If Skadeforsikring NUF'!F32+KLP!F32+'KLP Bedriftspensjon AS'!F32+'KLP Skadeforsikring AS'!F32+'Landbruksforsikring AS'!F32+'NEMI Forsikring'!F32+'Nordea Liv '!F32+'Oslo Pensjonsforsikring'!F32+'Protector Forsikring'!F32+'SHB Liv'!F32+'Sparebank 1'!F32+'Storebrand Livsforsikring'!F32+'Telenor Forsikring'!F32+'Tryg Forsikring'!F32</f>
        <v>4174017.3653799999</v>
      </c>
      <c r="F32" s="44">
        <f>'Danica Pensjonsforsikring'!G32+'DNB Livsforsikring'!G32+'Eika Forsikring AS'!G32+'Frende Livsforsikring'!G32+'Frende Skadeforsikring'!G32+'Gjensidige Forsikring'!G32+'Gjensidige Pensjon'!G32+'Handelsbanken Liv'!G32+'If Skadeforsikring NUF'!G32+KLP!G32+'KLP Bedriftspensjon AS'!G32+'KLP Skadeforsikring AS'!G32+'Landbruksforsikring AS'!G32+'NEMI Forsikring'!G32+'Nordea Liv '!G32+'Oslo Pensjonsforsikring'!G32+'Protector Forsikring'!G32+'SHB Liv'!G32+'Sparebank 1'!G32+'Storebrand Livsforsikring'!G32+'Telenor Forsikring'!G32+'Tryg Forsikring'!G32</f>
        <v>4332720.0143200001</v>
      </c>
      <c r="G32" s="166">
        <f t="shared" si="17"/>
        <v>3.8</v>
      </c>
      <c r="H32" s="232">
        <f t="shared" si="9"/>
        <v>5507089.6033800002</v>
      </c>
      <c r="I32" s="44">
        <f t="shared" si="7"/>
        <v>5783369.3843200002</v>
      </c>
      <c r="J32" s="24">
        <f t="shared" si="8"/>
        <v>5</v>
      </c>
    </row>
    <row r="33" spans="1:10" ht="15.75" customHeight="1" x14ac:dyDescent="0.2">
      <c r="A33" s="553" t="s">
        <v>377</v>
      </c>
      <c r="B33" s="44">
        <f>'Danica Pensjonsforsikring'!B33+'DNB Livsforsikring'!B33+'Eika Forsikring AS'!B33+'Frende Livsforsikring'!B33+'Frende Skadeforsikring'!B33+'Gjensidige Forsikring'!B33+'Gjensidige Pensjon'!B33+'Handelsbanken Liv'!B33+'If Skadeforsikring NUF'!B33+KLP!B33+'KLP Bedriftspensjon AS'!B33+'KLP Skadeforsikring AS'!B33+'Landbruksforsikring AS'!B33+'NEMI Forsikring'!B33+'Nordea Liv '!B33+'Oslo Pensjonsforsikring'!B33+'Protector Forsikring'!B33+'SHB Liv'!B33+'Sparebank 1'!B33+'Storebrand Livsforsikring'!B33+'Telenor Forsikring'!B33+'Tryg Forsikring'!B33</f>
        <v>0</v>
      </c>
      <c r="C33" s="44">
        <f>'Danica Pensjonsforsikring'!C33+'DNB Livsforsikring'!C33+'Eika Forsikring AS'!C33+'Frende Livsforsikring'!C33+'Frende Skadeforsikring'!C33+'Gjensidige Forsikring'!C33+'Gjensidige Pensjon'!C33+'Handelsbanken Liv'!C33+'If Skadeforsikring NUF'!C33+KLP!C33+'KLP Bedriftspensjon AS'!C33+'KLP Skadeforsikring AS'!C33+'Landbruksforsikring AS'!C33+'NEMI Forsikring'!C33+'Nordea Liv '!C33+'Oslo Pensjonsforsikring'!C33+'Protector Forsikring'!C33+'SHB Liv'!C33+'Sparebank 1'!C33+'Storebrand Livsforsikring'!C33+'Telenor Forsikring'!C33+'Tryg Forsikring'!C33</f>
        <v>0</v>
      </c>
      <c r="D33" s="27"/>
      <c r="E33" s="44">
        <f>'Danica Pensjonsforsikring'!F33+'DNB Livsforsikring'!F33+'Eika Forsikring AS'!F33+'Frende Livsforsikring'!F33+'Frende Skadeforsikring'!F33+'Gjensidige Forsikring'!F33+'Gjensidige Pensjon'!F33+'Handelsbanken Liv'!F33+'If Skadeforsikring NUF'!F33+KLP!F33+'KLP Bedriftspensjon AS'!F33+'KLP Skadeforsikring AS'!F33+'Landbruksforsikring AS'!F33+'NEMI Forsikring'!F33+'Nordea Liv '!F33+'Oslo Pensjonsforsikring'!F33+'Protector Forsikring'!F33+'SHB Liv'!F33+'Sparebank 1'!F33+'Storebrand Livsforsikring'!F33+'Telenor Forsikring'!F33+'Tryg Forsikring'!F33</f>
        <v>1240664.9201700001</v>
      </c>
      <c r="F33" s="44">
        <f>'Danica Pensjonsforsikring'!G33+'DNB Livsforsikring'!G33+'Eika Forsikring AS'!G33+'Frende Livsforsikring'!G33+'Frende Skadeforsikring'!G33+'Gjensidige Forsikring'!G33+'Gjensidige Pensjon'!G33+'Handelsbanken Liv'!G33+'If Skadeforsikring NUF'!G33+KLP!G33+'KLP Bedriftspensjon AS'!G33+'KLP Skadeforsikring AS'!G33+'Landbruksforsikring AS'!G33+'NEMI Forsikring'!G33+'Nordea Liv '!G33+'Oslo Pensjonsforsikring'!G33+'Protector Forsikring'!G33+'SHB Liv'!G33+'Sparebank 1'!G33+'Storebrand Livsforsikring'!G33+'Telenor Forsikring'!G33+'Tryg Forsikring'!G33</f>
        <v>2501856.5287100002</v>
      </c>
      <c r="G33" s="166">
        <f t="shared" ref="G33" si="18">IF($A$1=4,IF(E33=0, "    ---- ", IF(ABS(ROUND(100/E33*F33-100,1))&lt;999,ROUND(100/E33*F33-100,1),IF(ROUND(100/E33*F33-100,1)&gt;999,999,-999))),"")</f>
        <v>101.7</v>
      </c>
      <c r="H33" s="232">
        <f t="shared" ref="H33" si="19">SUM(B33,E33)</f>
        <v>1240664.9201700001</v>
      </c>
      <c r="I33" s="44">
        <f t="shared" ref="I33" si="20">SUM(C33,F33)</f>
        <v>2501856.5287100002</v>
      </c>
      <c r="J33" s="24">
        <f t="shared" ref="J33" si="21">IF(H33=0, "    ---- ", IF(ABS(ROUND(100/H33*I33-100,1))&lt;999,ROUND(100/H33*I33-100,1),IF(ROUND(100/H33*I33-100,1)&gt;999,999,-999)))</f>
        <v>101.7</v>
      </c>
    </row>
    <row r="34" spans="1:10" s="43" customFormat="1" ht="15.75" customHeight="1" x14ac:dyDescent="0.2">
      <c r="A34" s="39" t="s">
        <v>372</v>
      </c>
      <c r="B34" s="234">
        <f>'Danica Pensjonsforsikring'!B34+'DNB Livsforsikring'!B34+'Eika Forsikring AS'!B34+'Frende Livsforsikring'!B34+'Frende Skadeforsikring'!B34+'Gjensidige Forsikring'!B34+'Gjensidige Pensjon'!B34+'Handelsbanken Liv'!B34+'If Skadeforsikring NUF'!B34+KLP!B34+'KLP Bedriftspensjon AS'!B34+'KLP Skadeforsikring AS'!B34+'Landbruksforsikring AS'!B34+'NEMI Forsikring'!B34+'Nordea Liv '!B34+'Oslo Pensjonsforsikring'!B34+'Protector Forsikring'!B34+'SHB Liv'!B34+'Sparebank 1'!B34+'Storebrand Livsforsikring'!B34+'Telenor Forsikring'!B34+'Tryg Forsikring'!B34</f>
        <v>12336.792280000001</v>
      </c>
      <c r="C34" s="234">
        <f>'Danica Pensjonsforsikring'!C34+'DNB Livsforsikring'!C34+'Eika Forsikring AS'!C34+'Frende Livsforsikring'!C34+'Frende Skadeforsikring'!C34+'Gjensidige Forsikring'!C34+'Gjensidige Pensjon'!C34+'Handelsbanken Liv'!C34+'If Skadeforsikring NUF'!C34+KLP!C34+'KLP Bedriftspensjon AS'!C34+'KLP Skadeforsikring AS'!C34+'Landbruksforsikring AS'!C34+'NEMI Forsikring'!C34+'Nordea Liv '!C34+'Oslo Pensjonsforsikring'!C34+'Protector Forsikring'!C34+'SHB Liv'!C34+'Sparebank 1'!C34+'Storebrand Livsforsikring'!C34+'Telenor Forsikring'!C34+'Tryg Forsikring'!C34</f>
        <v>12913.531999999999</v>
      </c>
      <c r="D34" s="24">
        <f t="shared" si="5"/>
        <v>4.7</v>
      </c>
      <c r="E34" s="306">
        <f>'Danica Pensjonsforsikring'!F34+'DNB Livsforsikring'!F34+'Eika Forsikring AS'!F34+'Frende Livsforsikring'!F34+'Frende Skadeforsikring'!F34+'Gjensidige Forsikring'!F34+'Gjensidige Pensjon'!F34+'Handelsbanken Liv'!F34+'If Skadeforsikring NUF'!F34+KLP!F34+'KLP Bedriftspensjon AS'!F34+'KLP Skadeforsikring AS'!F34+'Landbruksforsikring AS'!F34+'NEMI Forsikring'!F34+'Nordea Liv '!F34+'Oslo Pensjonsforsikring'!F34+'Protector Forsikring'!F34+'SHB Liv'!F34+'Sparebank 1'!F34+'Storebrand Livsforsikring'!F34+'Telenor Forsikring'!F34+'Tryg Forsikring'!F34</f>
        <v>27349.812709999998</v>
      </c>
      <c r="F34" s="306">
        <f>'Danica Pensjonsforsikring'!G34+'DNB Livsforsikring'!G34+'Eika Forsikring AS'!G34+'Frende Livsforsikring'!G34+'Frende Skadeforsikring'!G34+'Gjensidige Forsikring'!G34+'Gjensidige Pensjon'!G34+'Handelsbanken Liv'!G34+'If Skadeforsikring NUF'!G34+KLP!G34+'KLP Bedriftspensjon AS'!G34+'KLP Skadeforsikring AS'!G34+'Landbruksforsikring AS'!G34+'NEMI Forsikring'!G34+'Nordea Liv '!G34+'Oslo Pensjonsforsikring'!G34+'Protector Forsikring'!G34+'SHB Liv'!G34+'Sparebank 1'!G34+'Storebrand Livsforsikring'!G34+'Telenor Forsikring'!G34+'Tryg Forsikring'!G34</f>
        <v>38931.135770000001</v>
      </c>
      <c r="G34" s="171">
        <f t="shared" si="6"/>
        <v>42.3</v>
      </c>
      <c r="H34" s="306">
        <f t="shared" si="9"/>
        <v>39686.60499</v>
      </c>
      <c r="I34" s="234">
        <f t="shared" si="7"/>
        <v>51844.66777</v>
      </c>
      <c r="J34" s="24">
        <f t="shared" si="8"/>
        <v>30.6</v>
      </c>
    </row>
    <row r="35" spans="1:10" s="43" customFormat="1" ht="15.75" customHeight="1" x14ac:dyDescent="0.2">
      <c r="A35" s="39" t="s">
        <v>373</v>
      </c>
      <c r="B35" s="234">
        <f>'Danica Pensjonsforsikring'!B35+'DNB Livsforsikring'!B35+'Eika Forsikring AS'!B35+'Frende Livsforsikring'!B35+'Frende Skadeforsikring'!B35+'Gjensidige Forsikring'!B35+'Gjensidige Pensjon'!B35+'Handelsbanken Liv'!B35+'If Skadeforsikring NUF'!B35+KLP!B35+'KLP Bedriftspensjon AS'!B35+'KLP Skadeforsikring AS'!B35+'Landbruksforsikring AS'!B35+'NEMI Forsikring'!B35+'Nordea Liv '!B35+'Oslo Pensjonsforsikring'!B35+'Protector Forsikring'!B35+'SHB Liv'!B35+'Sparebank 1'!B35+'Storebrand Livsforsikring'!B35+'Telenor Forsikring'!B35+'Tryg Forsikring'!B35</f>
        <v>-19215.964090000001</v>
      </c>
      <c r="C35" s="234">
        <f>'Danica Pensjonsforsikring'!C35+'DNB Livsforsikring'!C35+'Eika Forsikring AS'!C35+'Frende Livsforsikring'!C35+'Frende Skadeforsikring'!C35+'Gjensidige Forsikring'!C35+'Gjensidige Pensjon'!C35+'Handelsbanken Liv'!C35+'If Skadeforsikring NUF'!C35+KLP!C35+'KLP Bedriftspensjon AS'!C35+'KLP Skadeforsikring AS'!C35+'Landbruksforsikring AS'!C35+'NEMI Forsikring'!C35+'Nordea Liv '!C35+'Oslo Pensjonsforsikring'!C35+'Protector Forsikring'!C35+'SHB Liv'!C35+'Sparebank 1'!C35+'Storebrand Livsforsikring'!C35+'Telenor Forsikring'!C35+'Tryg Forsikring'!C35</f>
        <v>-11935.315350000001</v>
      </c>
      <c r="D35" s="24">
        <f t="shared" si="5"/>
        <v>-37.9</v>
      </c>
      <c r="E35" s="306">
        <f>'Danica Pensjonsforsikring'!F35+'DNB Livsforsikring'!F35+'Eika Forsikring AS'!F35+'Frende Livsforsikring'!F35+'Frende Skadeforsikring'!F35+'Gjensidige Forsikring'!F35+'Gjensidige Pensjon'!F35+'Handelsbanken Liv'!F35+'If Skadeforsikring NUF'!F35+KLP!F35+'KLP Bedriftspensjon AS'!F35+'KLP Skadeforsikring AS'!F35+'Landbruksforsikring AS'!F35+'NEMI Forsikring'!F35+'Nordea Liv '!F35+'Oslo Pensjonsforsikring'!F35+'Protector Forsikring'!F35+'SHB Liv'!F35+'Sparebank 1'!F35+'Storebrand Livsforsikring'!F35+'Telenor Forsikring'!F35+'Tryg Forsikring'!F35</f>
        <v>54283.249890000006</v>
      </c>
      <c r="F35" s="306">
        <f>'Danica Pensjonsforsikring'!G35+'DNB Livsforsikring'!G35+'Eika Forsikring AS'!G35+'Frende Livsforsikring'!G35+'Frende Skadeforsikring'!G35+'Gjensidige Forsikring'!G35+'Gjensidige Pensjon'!G35+'Handelsbanken Liv'!G35+'If Skadeforsikring NUF'!G35+KLP!G35+'KLP Bedriftspensjon AS'!G35+'KLP Skadeforsikring AS'!G35+'Landbruksforsikring AS'!G35+'NEMI Forsikring'!G35+'Nordea Liv '!G35+'Oslo Pensjonsforsikring'!G35+'Protector Forsikring'!G35+'SHB Liv'!G35+'Sparebank 1'!G35+'Storebrand Livsforsikring'!G35+'Telenor Forsikring'!G35+'Tryg Forsikring'!G35</f>
        <v>63915.847379999999</v>
      </c>
      <c r="G35" s="171">
        <f t="shared" si="6"/>
        <v>17.7</v>
      </c>
      <c r="H35" s="306">
        <f t="shared" si="9"/>
        <v>35067.285800000005</v>
      </c>
      <c r="I35" s="234">
        <f t="shared" si="7"/>
        <v>51980.532030000002</v>
      </c>
      <c r="J35" s="24">
        <f t="shared" si="8"/>
        <v>48.2</v>
      </c>
    </row>
    <row r="36" spans="1:10" s="43" customFormat="1" ht="15.75" customHeight="1" x14ac:dyDescent="0.2">
      <c r="A36" s="12" t="s">
        <v>290</v>
      </c>
      <c r="B36" s="234">
        <f>'Danica Pensjonsforsikring'!B36+'DNB Livsforsikring'!B36+'Eika Forsikring AS'!B36+'Frende Livsforsikring'!B36+'Frende Skadeforsikring'!B36+'Gjensidige Forsikring'!B36+'Gjensidige Pensjon'!B36+'Handelsbanken Liv'!B36+'If Skadeforsikring NUF'!B36+KLP!B36+'KLP Bedriftspensjon AS'!B36+'KLP Skadeforsikring AS'!B36+'Landbruksforsikring AS'!B36+'NEMI Forsikring'!B36+'Nordea Liv '!B36+'Oslo Pensjonsforsikring'!B36+'Protector Forsikring'!B36+'SHB Liv'!B36+'Sparebank 1'!B36+'Storebrand Livsforsikring'!B36+'Telenor Forsikring'!B36+'Tryg Forsikring'!B36</f>
        <v>2378.9630000000002</v>
      </c>
      <c r="C36" s="234">
        <f>'Danica Pensjonsforsikring'!C36+'DNB Livsforsikring'!C36+'Eika Forsikring AS'!C36+'Frende Livsforsikring'!C36+'Frende Skadeforsikring'!C36+'Gjensidige Forsikring'!C36+'Gjensidige Pensjon'!C36+'Handelsbanken Liv'!C36+'If Skadeforsikring NUF'!C36+KLP!C36+'KLP Bedriftspensjon AS'!C36+'KLP Skadeforsikring AS'!C36+'Landbruksforsikring AS'!C36+'NEMI Forsikring'!C36+'Nordea Liv '!C36+'Oslo Pensjonsforsikring'!C36+'Protector Forsikring'!C36+'SHB Liv'!C36+'Sparebank 1'!C36+'Storebrand Livsforsikring'!C36+'Telenor Forsikring'!C36+'Tryg Forsikring'!C36</f>
        <v>2146.748</v>
      </c>
      <c r="D36" s="11">
        <f t="shared" si="5"/>
        <v>-9.8000000000000007</v>
      </c>
      <c r="E36" s="317">
        <f>'Danica Pensjonsforsikring'!F36+'DNB Livsforsikring'!F36+'Eika Forsikring AS'!F36+'Frende Livsforsikring'!F36+'Frende Skadeforsikring'!F36+'Gjensidige Forsikring'!F36+'Gjensidige Pensjon'!F36+'Handelsbanken Liv'!F36+'If Skadeforsikring NUF'!F36+KLP!F36+'KLP Bedriftspensjon AS'!F36+'KLP Skadeforsikring AS'!F36+'Landbruksforsikring AS'!F36+'NEMI Forsikring'!F36+'Nordea Liv '!F36+'Oslo Pensjonsforsikring'!F36+'Protector Forsikring'!F36+'SHB Liv'!F36+'Sparebank 1'!F36+'Storebrand Livsforsikring'!F36+'Telenor Forsikring'!F36+'Tryg Forsikring'!F36</f>
        <v>0</v>
      </c>
      <c r="F36" s="317">
        <f>'Danica Pensjonsforsikring'!G36+'DNB Livsforsikring'!G36+'Eika Forsikring AS'!G36+'Frende Livsforsikring'!G36+'Frende Skadeforsikring'!G36+'Gjensidige Forsikring'!G36+'Gjensidige Pensjon'!G36+'Handelsbanken Liv'!G36+'If Skadeforsikring NUF'!G36+KLP!G36+'KLP Bedriftspensjon AS'!G36+'KLP Skadeforsikring AS'!G36+'Landbruksforsikring AS'!G36+'NEMI Forsikring'!G36+'Nordea Liv '!G36+'Oslo Pensjonsforsikring'!G36+'Protector Forsikring'!G36+'SHB Liv'!G36+'Sparebank 1'!G36+'Storebrand Livsforsikring'!G36+'Telenor Forsikring'!G36+'Tryg Forsikring'!G36</f>
        <v>0</v>
      </c>
      <c r="G36" s="171"/>
      <c r="H36" s="306">
        <f t="shared" si="9"/>
        <v>2378.9630000000002</v>
      </c>
      <c r="I36" s="234">
        <f t="shared" si="7"/>
        <v>2146.748</v>
      </c>
      <c r="J36" s="11">
        <f t="shared" si="8"/>
        <v>-9.8000000000000007</v>
      </c>
    </row>
    <row r="37" spans="1:10" s="43" customFormat="1" ht="15.75" customHeight="1" x14ac:dyDescent="0.2">
      <c r="A37" s="554" t="s">
        <v>379</v>
      </c>
      <c r="B37" s="234">
        <f>'Danica Pensjonsforsikring'!B37+'DNB Livsforsikring'!B37+'Eika Forsikring AS'!B37+'Frende Livsforsikring'!B37+'Frende Skadeforsikring'!B37+'Gjensidige Forsikring'!B37+'Gjensidige Pensjon'!B37+'Handelsbanken Liv'!B37+'If Skadeforsikring NUF'!B37+KLP!B37+'KLP Bedriftspensjon AS'!B37+'KLP Skadeforsikring AS'!B37+'Landbruksforsikring AS'!B37+'NEMI Forsikring'!B37+'Nordea Liv '!B37+'Oslo Pensjonsforsikring'!B37+'Protector Forsikring'!B37+'SHB Liv'!B37+'Sparebank 1'!B37+'Storebrand Livsforsikring'!B37+'Telenor Forsikring'!B37+'Tryg Forsikring'!B37</f>
        <v>3924030.3969999999</v>
      </c>
      <c r="C37" s="234">
        <f>'Danica Pensjonsforsikring'!C37+'DNB Livsforsikring'!C37+'Eika Forsikring AS'!C37+'Frende Livsforsikring'!C37+'Frende Skadeforsikring'!C37+'Gjensidige Forsikring'!C37+'Gjensidige Pensjon'!C37+'Handelsbanken Liv'!C37+'If Skadeforsikring NUF'!C37+KLP!C37+'KLP Bedriftspensjon AS'!C37+'KLP Skadeforsikring AS'!C37+'Landbruksforsikring AS'!C37+'NEMI Forsikring'!C37+'Nordea Liv '!C37+'Oslo Pensjonsforsikring'!C37+'Protector Forsikring'!C37+'SHB Liv'!C37+'Sparebank 1'!C37+'Storebrand Livsforsikring'!C37+'Telenor Forsikring'!C37+'Tryg Forsikring'!C37</f>
        <v>3749205.2209999999</v>
      </c>
      <c r="D37" s="24">
        <f t="shared" si="5"/>
        <v>-4.5</v>
      </c>
      <c r="E37" s="322">
        <f>'Danica Pensjonsforsikring'!F37+'DNB Livsforsikring'!F37+'Eika Forsikring AS'!F37+'Frende Livsforsikring'!F37+'Frende Skadeforsikring'!F37+'Gjensidige Forsikring'!F37+'Gjensidige Pensjon'!F37+'Handelsbanken Liv'!F37+'If Skadeforsikring NUF'!F37+KLP!F37+'KLP Bedriftspensjon AS'!F37+'KLP Skadeforsikring AS'!F37+'Landbruksforsikring AS'!F37+'NEMI Forsikring'!F37+'Nordea Liv '!F37+'Oslo Pensjonsforsikring'!F37+'Protector Forsikring'!F37+'SHB Liv'!F37+'Sparebank 1'!F37+'Storebrand Livsforsikring'!F37+'Telenor Forsikring'!F37+'Tryg Forsikring'!F37</f>
        <v>0</v>
      </c>
      <c r="F37" s="322">
        <f>'Danica Pensjonsforsikring'!G37+'DNB Livsforsikring'!G37+'Eika Forsikring AS'!G37+'Frende Livsforsikring'!G37+'Frende Skadeforsikring'!G37+'Gjensidige Forsikring'!G37+'Gjensidige Pensjon'!G37+'Handelsbanken Liv'!G37+'If Skadeforsikring NUF'!G37+KLP!G37+'KLP Bedriftspensjon AS'!G37+'KLP Skadeforsikring AS'!G37+'Landbruksforsikring AS'!G37+'NEMI Forsikring'!G37+'Nordea Liv '!G37+'Oslo Pensjonsforsikring'!G37+'Protector Forsikring'!G37+'SHB Liv'!G37+'Sparebank 1'!G37+'Storebrand Livsforsikring'!G37+'Telenor Forsikring'!G37+'Tryg Forsikring'!G37</f>
        <v>0</v>
      </c>
      <c r="G37" s="171"/>
      <c r="H37" s="306">
        <f t="shared" si="9"/>
        <v>3924030.3969999999</v>
      </c>
      <c r="I37" s="234">
        <f t="shared" si="7"/>
        <v>3749205.2209999999</v>
      </c>
      <c r="J37" s="24">
        <f t="shared" si="8"/>
        <v>-4.5</v>
      </c>
    </row>
    <row r="38" spans="1:10" s="43" customFormat="1" ht="15.75" customHeight="1" x14ac:dyDescent="0.2">
      <c r="A38" s="554" t="s">
        <v>380</v>
      </c>
      <c r="B38" s="234">
        <f>'Danica Pensjonsforsikring'!B38+'DNB Livsforsikring'!B38+'Eika Forsikring AS'!B38+'Frende Livsforsikring'!B38+'Frende Skadeforsikring'!B38+'Gjensidige Forsikring'!B38+'Gjensidige Pensjon'!B38+'Handelsbanken Liv'!B38+'If Skadeforsikring NUF'!B38+KLP!B38+'KLP Bedriftspensjon AS'!B38+'KLP Skadeforsikring AS'!B38+'Landbruksforsikring AS'!B38+'NEMI Forsikring'!B38+'Nordea Liv '!B38+'Oslo Pensjonsforsikring'!B38+'Protector Forsikring'!B38+'SHB Liv'!B38+'Sparebank 1'!B38+'Storebrand Livsforsikring'!B38+'Telenor Forsikring'!B38+'Tryg Forsikring'!B38</f>
        <v>611</v>
      </c>
      <c r="C38" s="234">
        <f>'Danica Pensjonsforsikring'!C38+'DNB Livsforsikring'!C38+'Eika Forsikring AS'!C38+'Frende Livsforsikring'!C38+'Frende Skadeforsikring'!C38+'Gjensidige Forsikring'!C38+'Gjensidige Pensjon'!C38+'Handelsbanken Liv'!C38+'If Skadeforsikring NUF'!C38+KLP!C38+'KLP Bedriftspensjon AS'!C38+'KLP Skadeforsikring AS'!C38+'Landbruksforsikring AS'!C38+'NEMI Forsikring'!C38+'Nordea Liv '!C38+'Oslo Pensjonsforsikring'!C38+'Protector Forsikring'!C38+'SHB Liv'!C38+'Sparebank 1'!C38+'Storebrand Livsforsikring'!C38+'Telenor Forsikring'!C38+'Tryg Forsikring'!C38</f>
        <v>0</v>
      </c>
      <c r="D38" s="24">
        <f t="shared" si="5"/>
        <v>-100</v>
      </c>
      <c r="E38" s="317">
        <f>'Danica Pensjonsforsikring'!F38+'DNB Livsforsikring'!F38+'Eika Forsikring AS'!F38+'Frende Livsforsikring'!F38+'Frende Skadeforsikring'!F38+'Gjensidige Forsikring'!F38+'Gjensidige Pensjon'!F38+'Handelsbanken Liv'!F38+'If Skadeforsikring NUF'!F38+KLP!F38+'KLP Bedriftspensjon AS'!F38+'KLP Skadeforsikring AS'!F38+'Landbruksforsikring AS'!F38+'NEMI Forsikring'!F38+'Nordea Liv '!F38+'Oslo Pensjonsforsikring'!F38+'Protector Forsikring'!F38+'SHB Liv'!F38+'Sparebank 1'!F38+'Storebrand Livsforsikring'!F38+'Telenor Forsikring'!F38+'Tryg Forsikring'!F38</f>
        <v>0</v>
      </c>
      <c r="F38" s="317">
        <f>'Danica Pensjonsforsikring'!G38+'DNB Livsforsikring'!G38+'Eika Forsikring AS'!G38+'Frende Livsforsikring'!G38+'Frende Skadeforsikring'!G38+'Gjensidige Forsikring'!G38+'Gjensidige Pensjon'!G38+'Handelsbanken Liv'!G38+'If Skadeforsikring NUF'!G38+KLP!G38+'KLP Bedriftspensjon AS'!G38+'KLP Skadeforsikring AS'!G38+'Landbruksforsikring AS'!G38+'NEMI Forsikring'!G38+'Nordea Liv '!G38+'Oslo Pensjonsforsikring'!G38+'Protector Forsikring'!G38+'SHB Liv'!G38+'Sparebank 1'!G38+'Storebrand Livsforsikring'!G38+'Telenor Forsikring'!G38+'Tryg Forsikring'!G38</f>
        <v>0</v>
      </c>
      <c r="G38" s="171"/>
      <c r="H38" s="306">
        <f t="shared" si="9"/>
        <v>611</v>
      </c>
      <c r="I38" s="234">
        <f t="shared" si="7"/>
        <v>0</v>
      </c>
      <c r="J38" s="24">
        <f t="shared" si="8"/>
        <v>-100</v>
      </c>
    </row>
    <row r="39" spans="1:10" s="43" customFormat="1" ht="15.75" customHeight="1" x14ac:dyDescent="0.2">
      <c r="A39" s="555" t="s">
        <v>381</v>
      </c>
      <c r="B39" s="274">
        <f>'Danica Pensjonsforsikring'!B39+'DNB Livsforsikring'!B39+'Eika Forsikring AS'!B39+'Frende Livsforsikring'!B39+'Frende Skadeforsikring'!B39+'Gjensidige Forsikring'!B39+'Gjensidige Pensjon'!B39+'Handelsbanken Liv'!B39+'If Skadeforsikring NUF'!B39+KLP!B39+'KLP Bedriftspensjon AS'!B39+'KLP Skadeforsikring AS'!B39+'Landbruksforsikring AS'!B39+'NEMI Forsikring'!B39+'Nordea Liv '!B39+'Oslo Pensjonsforsikring'!B39+'Protector Forsikring'!B39+'SHB Liv'!B39+'Sparebank 1'!B39+'Storebrand Livsforsikring'!B39+'Telenor Forsikring'!B39+'Tryg Forsikring'!B39</f>
        <v>3</v>
      </c>
      <c r="C39" s="274">
        <f>'Danica Pensjonsforsikring'!C39+'DNB Livsforsikring'!C39+'Eika Forsikring AS'!C39+'Frende Livsforsikring'!C39+'Frende Skadeforsikring'!C39+'Gjensidige Forsikring'!C39+'Gjensidige Pensjon'!C39+'Handelsbanken Liv'!C39+'If Skadeforsikring NUF'!C39+KLP!C39+'KLP Bedriftspensjon AS'!C39+'KLP Skadeforsikring AS'!C39+'Landbruksforsikring AS'!C39+'NEMI Forsikring'!C39+'Nordea Liv '!C39+'Oslo Pensjonsforsikring'!C39+'Protector Forsikring'!C39+'SHB Liv'!C39+'Sparebank 1'!C39+'Storebrand Livsforsikring'!C39+'Telenor Forsikring'!C39+'Tryg Forsikring'!C39</f>
        <v>2</v>
      </c>
      <c r="D39" s="36">
        <f t="shared" si="5"/>
        <v>-33.299999999999997</v>
      </c>
      <c r="E39" s="323">
        <f>'Danica Pensjonsforsikring'!F39+'DNB Livsforsikring'!F39+'Eika Forsikring AS'!F39+'Frende Livsforsikring'!F39+'Frende Skadeforsikring'!F39+'Gjensidige Forsikring'!F39+'Gjensidige Pensjon'!F39+'Handelsbanken Liv'!F39+'If Skadeforsikring NUF'!F39+KLP!F39+'KLP Bedriftspensjon AS'!F39+'KLP Skadeforsikring AS'!F39+'Landbruksforsikring AS'!F39+'NEMI Forsikring'!F39+'Nordea Liv '!F39+'Oslo Pensjonsforsikring'!F39+'Protector Forsikring'!F39+'SHB Liv'!F39+'Sparebank 1'!F39+'Storebrand Livsforsikring'!F39+'Telenor Forsikring'!F39+'Tryg Forsikring'!F39</f>
        <v>0</v>
      </c>
      <c r="F39" s="323">
        <f>'Danica Pensjonsforsikring'!G39+'DNB Livsforsikring'!G39+'Eika Forsikring AS'!G39+'Frende Livsforsikring'!G39+'Frende Skadeforsikring'!G39+'Gjensidige Forsikring'!G39+'Gjensidige Pensjon'!G39+'Handelsbanken Liv'!G39+'If Skadeforsikring NUF'!G39+KLP!G39+'KLP Bedriftspensjon AS'!G39+'KLP Skadeforsikring AS'!G39+'Landbruksforsikring AS'!G39+'NEMI Forsikring'!G39+'Nordea Liv '!G39+'Oslo Pensjonsforsikring'!G39+'Protector Forsikring'!G39+'SHB Liv'!G39+'Sparebank 1'!G39+'Storebrand Livsforsikring'!G39+'Telenor Forsikring'!G39+'Tryg Forsikring'!G39</f>
        <v>0</v>
      </c>
      <c r="G39" s="169"/>
      <c r="H39" s="312">
        <f t="shared" si="9"/>
        <v>3</v>
      </c>
      <c r="I39" s="274">
        <f t="shared" si="7"/>
        <v>2</v>
      </c>
      <c r="J39" s="36">
        <f t="shared" si="8"/>
        <v>-33.299999999999997</v>
      </c>
    </row>
    <row r="40" spans="1:10" ht="15.75" customHeight="1" x14ac:dyDescent="0.2">
      <c r="A40" s="47"/>
    </row>
    <row r="41" spans="1:10" ht="15.75" customHeight="1" x14ac:dyDescent="0.2">
      <c r="A41" s="155"/>
    </row>
    <row r="42" spans="1:10" ht="15.75" customHeight="1" x14ac:dyDescent="0.25">
      <c r="A42" s="147" t="s">
        <v>279</v>
      </c>
      <c r="B42" s="690"/>
      <c r="C42" s="690"/>
      <c r="D42" s="690"/>
      <c r="E42" s="694"/>
      <c r="F42" s="694"/>
      <c r="G42" s="694"/>
      <c r="H42" s="694"/>
      <c r="I42" s="694"/>
      <c r="J42" s="694"/>
    </row>
    <row r="43" spans="1:10" ht="15.75" customHeight="1" x14ac:dyDescent="0.25">
      <c r="A43" s="163"/>
      <c r="B43" s="378"/>
      <c r="C43" s="378"/>
      <c r="D43" s="378"/>
      <c r="E43" s="296"/>
      <c r="F43" s="296"/>
      <c r="G43" s="296"/>
      <c r="H43" s="296"/>
      <c r="I43" s="296"/>
      <c r="J43" s="296"/>
    </row>
    <row r="44" spans="1:10" s="3" customFormat="1" ht="15.75" customHeight="1" x14ac:dyDescent="0.25">
      <c r="A44" s="245"/>
      <c r="B44" s="324" t="s">
        <v>0</v>
      </c>
      <c r="C44" s="325"/>
      <c r="D44" s="250"/>
      <c r="E44" s="42"/>
      <c r="F44" s="42"/>
      <c r="G44" s="40"/>
      <c r="H44" s="42"/>
      <c r="I44" s="42"/>
      <c r="J44" s="40"/>
    </row>
    <row r="45" spans="1:10" s="3" customFormat="1" ht="15.75" customHeight="1" x14ac:dyDescent="0.2">
      <c r="A45" s="140"/>
      <c r="B45" s="20" t="s">
        <v>422</v>
      </c>
      <c r="C45" s="20" t="s">
        <v>423</v>
      </c>
      <c r="D45" s="248" t="s">
        <v>3</v>
      </c>
      <c r="E45" s="42"/>
      <c r="F45" s="42"/>
      <c r="G45" s="40"/>
      <c r="H45" s="42"/>
      <c r="I45" s="42"/>
      <c r="J45" s="40"/>
    </row>
    <row r="46" spans="1:10" s="3" customFormat="1" ht="15.75" customHeight="1" x14ac:dyDescent="0.2">
      <c r="A46" s="666"/>
      <c r="B46" s="46"/>
      <c r="C46" s="249"/>
      <c r="D46" s="17" t="s">
        <v>4</v>
      </c>
      <c r="E46" s="40"/>
      <c r="F46" s="40"/>
      <c r="G46" s="40"/>
      <c r="H46" s="40"/>
      <c r="I46" s="40"/>
      <c r="J46" s="40"/>
    </row>
    <row r="47" spans="1:10" s="366" customFormat="1" ht="15.75" customHeight="1" x14ac:dyDescent="0.2">
      <c r="A47" s="14" t="s">
        <v>23</v>
      </c>
      <c r="B47" s="234">
        <f>'Danica Pensjonsforsikring'!B47+'DNB Livsforsikring'!B47+'Eika Forsikring AS'!B47+'Frende Livsforsikring'!B47+'Frende Skadeforsikring'!B47+'Gjensidige Forsikring'!B47+'Gjensidige Pensjon'!B47+'Handelsbanken Liv'!B47+'If Skadeforsikring NUF'!B47+KLP!B47+'KLP Bedriftspensjon AS'!B47+'KLP Skadeforsikring AS'!B47+'Landbruksforsikring AS'!B47+'NEMI Forsikring'!B47+'Nordea Liv '!B47+'Oslo Pensjonsforsikring'!B47+'Protector Forsikring'!B47+'SHB Liv'!B47+'Sparebank 1'!B47+'Storebrand Livsforsikring'!B47+'Telenor Forsikring'!B47+'Tryg Forsikring'!B47</f>
        <v>3030760.675886136</v>
      </c>
      <c r="C47" s="234">
        <f>'Danica Pensjonsforsikring'!C47+'DNB Livsforsikring'!C47+'Eika Forsikring AS'!C47+'Frende Livsforsikring'!C47+'Frende Skadeforsikring'!C47+'Gjensidige Forsikring'!C47+'Gjensidige Pensjon'!C47+'Handelsbanken Liv'!C47+'If Skadeforsikring NUF'!C47+KLP!C47+'KLP Bedriftspensjon AS'!C47+'KLP Skadeforsikring AS'!C47+'Landbruksforsikring AS'!C47+'NEMI Forsikring'!C47+'Nordea Liv '!C47+'Oslo Pensjonsforsikring'!C47+'Protector Forsikring'!C47+'SHB Liv'!C47+'Sparebank 1'!C47+'Storebrand Livsforsikring'!C47+'Telenor Forsikring'!C47+'Tryg Forsikring'!C47</f>
        <v>3228505.0265786871</v>
      </c>
      <c r="D47" s="24">
        <f t="shared" ref="D47:D58" si="22">IF(B47=0, "    ---- ", IF(ABS(ROUND(100/B47*C47-100,1))&lt;999,ROUND(100/B47*C47-100,1),IF(ROUND(100/B47*C47-100,1)&gt;999,999,-999)))</f>
        <v>6.5</v>
      </c>
      <c r="E47" s="367"/>
      <c r="F47" s="368"/>
      <c r="G47" s="32"/>
      <c r="H47" s="369"/>
      <c r="I47" s="369"/>
      <c r="J47" s="32"/>
    </row>
    <row r="48" spans="1:10" s="3" customFormat="1" ht="15.75" customHeight="1" x14ac:dyDescent="0.2">
      <c r="A48" s="38" t="s">
        <v>382</v>
      </c>
      <c r="B48" s="44">
        <f>'Danica Pensjonsforsikring'!B48+'DNB Livsforsikring'!B48+'Eika Forsikring AS'!B48+'Frende Livsforsikring'!B48+'Frende Skadeforsikring'!B48+'Gjensidige Forsikring'!B48+'Gjensidige Pensjon'!B48+'Handelsbanken Liv'!B48+'If Skadeforsikring NUF'!B48+KLP!B48+'KLP Bedriftspensjon AS'!B48+'KLP Skadeforsikring AS'!B48+'Landbruksforsikring AS'!B48+'NEMI Forsikring'!B48+'Nordea Liv '!B48+'Oslo Pensjonsforsikring'!B48+'Protector Forsikring'!B48+'SHB Liv'!B48+'Sparebank 1'!B48+'Storebrand Livsforsikring'!B48+'Telenor Forsikring'!B48+'Tryg Forsikring'!B48</f>
        <v>1674580.2233561361</v>
      </c>
      <c r="C48" s="44">
        <f>'Danica Pensjonsforsikring'!C48+'DNB Livsforsikring'!C48+'Eika Forsikring AS'!C48+'Frende Livsforsikring'!C48+'Frende Skadeforsikring'!C48+'Gjensidige Forsikring'!C48+'Gjensidige Pensjon'!C48+'Handelsbanken Liv'!C48+'If Skadeforsikring NUF'!C48+KLP!C48+'KLP Bedriftspensjon AS'!C48+'KLP Skadeforsikring AS'!C48+'Landbruksforsikring AS'!C48+'NEMI Forsikring'!C48+'Nordea Liv '!C48+'Oslo Pensjonsforsikring'!C48+'Protector Forsikring'!C48+'SHB Liv'!C48+'Sparebank 1'!C48+'Storebrand Livsforsikring'!C48+'Telenor Forsikring'!C48+'Tryg Forsikring'!C48</f>
        <v>1817018.5440886868</v>
      </c>
      <c r="D48" s="24">
        <f t="shared" si="22"/>
        <v>8.5</v>
      </c>
      <c r="E48" s="35"/>
      <c r="F48" s="5"/>
      <c r="G48" s="34"/>
      <c r="H48" s="33"/>
      <c r="I48" s="33"/>
      <c r="J48" s="32"/>
    </row>
    <row r="49" spans="1:10" s="3" customFormat="1" ht="15.75" customHeight="1" x14ac:dyDescent="0.2">
      <c r="A49" s="38" t="s">
        <v>383</v>
      </c>
      <c r="B49" s="190">
        <f>'Danica Pensjonsforsikring'!B49+'DNB Livsforsikring'!B49+'Eika Forsikring AS'!B49+'Frende Livsforsikring'!B49+'Frende Skadeforsikring'!B49+'Gjensidige Forsikring'!B49+'Gjensidige Pensjon'!B49+'Handelsbanken Liv'!B49+'If Skadeforsikring NUF'!B49+KLP!B49+'KLP Bedriftspensjon AS'!B49+'KLP Skadeforsikring AS'!B49+'Landbruksforsikring AS'!B49+'NEMI Forsikring'!B49+'Nordea Liv '!B49+'Oslo Pensjonsforsikring'!B49+'Protector Forsikring'!B49+'SHB Liv'!B49+'Sparebank 1'!B49+'Storebrand Livsforsikring'!B49+'Telenor Forsikring'!B49+'Tryg Forsikring'!B49</f>
        <v>1356180.4525299999</v>
      </c>
      <c r="C49" s="190">
        <f>'Danica Pensjonsforsikring'!C49+'DNB Livsforsikring'!C49+'Eika Forsikring AS'!C49+'Frende Livsforsikring'!C49+'Frende Skadeforsikring'!C49+'Gjensidige Forsikring'!C49+'Gjensidige Pensjon'!C49+'Handelsbanken Liv'!C49+'If Skadeforsikring NUF'!C49+KLP!C49+'KLP Bedriftspensjon AS'!C49+'KLP Skadeforsikring AS'!C49+'Landbruksforsikring AS'!C49+'NEMI Forsikring'!C49+'Nordea Liv '!C49+'Oslo Pensjonsforsikring'!C49+'Protector Forsikring'!C49+'SHB Liv'!C49+'Sparebank 1'!C49+'Storebrand Livsforsikring'!C49+'Telenor Forsikring'!C49+'Tryg Forsikring'!C49</f>
        <v>1411486.4824900001</v>
      </c>
      <c r="D49" s="24">
        <f t="shared" si="22"/>
        <v>4.0999999999999996</v>
      </c>
      <c r="E49" s="35"/>
      <c r="F49" s="5"/>
      <c r="G49" s="34"/>
      <c r="H49" s="37"/>
      <c r="I49" s="37"/>
      <c r="J49" s="32"/>
    </row>
    <row r="50" spans="1:10" s="3" customFormat="1" ht="15.75" customHeight="1" x14ac:dyDescent="0.2">
      <c r="A50" s="294" t="s">
        <v>6</v>
      </c>
      <c r="B50" s="44"/>
      <c r="C50" s="44"/>
      <c r="D50" s="27"/>
      <c r="E50" s="35"/>
      <c r="F50" s="5"/>
      <c r="G50" s="34"/>
      <c r="H50" s="33"/>
      <c r="I50" s="33"/>
      <c r="J50" s="32"/>
    </row>
    <row r="51" spans="1:10" s="3" customFormat="1" ht="15.75" customHeight="1" x14ac:dyDescent="0.2">
      <c r="A51" s="294" t="s">
        <v>7</v>
      </c>
      <c r="B51" s="44"/>
      <c r="C51" s="44"/>
      <c r="D51" s="27"/>
      <c r="E51" s="35"/>
      <c r="F51" s="5"/>
      <c r="G51" s="34"/>
      <c r="H51" s="33"/>
      <c r="I51" s="33"/>
      <c r="J51" s="32"/>
    </row>
    <row r="52" spans="1:10" s="3" customFormat="1" ht="15.75" customHeight="1" x14ac:dyDescent="0.2">
      <c r="A52" s="294" t="s">
        <v>8</v>
      </c>
      <c r="B52" s="44"/>
      <c r="C52" s="44"/>
      <c r="D52" s="27"/>
      <c r="E52" s="35"/>
      <c r="F52" s="5"/>
      <c r="G52" s="34"/>
      <c r="H52" s="33"/>
      <c r="I52" s="33"/>
      <c r="J52" s="32"/>
    </row>
    <row r="53" spans="1:10" s="366" customFormat="1" ht="15.75" customHeight="1" x14ac:dyDescent="0.2">
      <c r="A53" s="39" t="s">
        <v>384</v>
      </c>
      <c r="B53" s="234">
        <f>'Danica Pensjonsforsikring'!B53+'DNB Livsforsikring'!B53+'Eika Forsikring AS'!B53+'Frende Livsforsikring'!B53+'Frende Skadeforsikring'!B53+'Gjensidige Forsikring'!B53+'Gjensidige Pensjon'!B53+'Handelsbanken Liv'!B53+'If Skadeforsikring NUF'!B53+KLP!B53+'KLP Bedriftspensjon AS'!B53+'KLP Skadeforsikring AS'!B53+'Landbruksforsikring AS'!B53+'NEMI Forsikring'!B53+'Nordea Liv '!B53+'Oslo Pensjonsforsikring'!B53+'Protector Forsikring'!B53+'SHB Liv'!B53+'Sparebank 1'!B53+'Storebrand Livsforsikring'!B53+'Telenor Forsikring'!B53+'Tryg Forsikring'!B53</f>
        <v>78144.771999999997</v>
      </c>
      <c r="C53" s="234">
        <f>'Danica Pensjonsforsikring'!C53+'DNB Livsforsikring'!C53+'Eika Forsikring AS'!C53+'Frende Livsforsikring'!C53+'Frende Skadeforsikring'!C53+'Gjensidige Forsikring'!C53+'Gjensidige Pensjon'!C53+'Handelsbanken Liv'!C53+'If Skadeforsikring NUF'!C53+KLP!C53+'KLP Bedriftspensjon AS'!C53+'KLP Skadeforsikring AS'!C53+'Landbruksforsikring AS'!C53+'NEMI Forsikring'!C53+'Nordea Liv '!C53+'Oslo Pensjonsforsikring'!C53+'Protector Forsikring'!C53+'SHB Liv'!C53+'Sparebank 1'!C53+'Storebrand Livsforsikring'!C53+'Telenor Forsikring'!C53+'Tryg Forsikring'!C53</f>
        <v>190740.902</v>
      </c>
      <c r="D53" s="24">
        <f t="shared" si="22"/>
        <v>144.1</v>
      </c>
      <c r="E53" s="367"/>
      <c r="F53" s="368"/>
      <c r="G53" s="32"/>
      <c r="H53" s="173"/>
      <c r="I53" s="173"/>
      <c r="J53" s="32"/>
    </row>
    <row r="54" spans="1:10" s="3" customFormat="1" ht="15.75" customHeight="1" x14ac:dyDescent="0.2">
      <c r="A54" s="38" t="s">
        <v>382</v>
      </c>
      <c r="B54" s="44">
        <f>'Danica Pensjonsforsikring'!B54+'DNB Livsforsikring'!B54+'Eika Forsikring AS'!B54+'Frende Livsforsikring'!B54+'Frende Skadeforsikring'!B54+'Gjensidige Forsikring'!B54+'Gjensidige Pensjon'!B54+'Handelsbanken Liv'!B54+'If Skadeforsikring NUF'!B54+KLP!B54+'KLP Bedriftspensjon AS'!B54+'KLP Skadeforsikring AS'!B54+'Landbruksforsikring AS'!B54+'NEMI Forsikring'!B54+'Nordea Liv '!B54+'Oslo Pensjonsforsikring'!B54+'Protector Forsikring'!B54+'SHB Liv'!B54+'Sparebank 1'!B54+'Storebrand Livsforsikring'!B54+'Telenor Forsikring'!B54+'Tryg Forsikring'!B54</f>
        <v>78144.771999999997</v>
      </c>
      <c r="C54" s="44">
        <f>'Danica Pensjonsforsikring'!C54+'DNB Livsforsikring'!C54+'Eika Forsikring AS'!C54+'Frende Livsforsikring'!C54+'Frende Skadeforsikring'!C54+'Gjensidige Forsikring'!C54+'Gjensidige Pensjon'!C54+'Handelsbanken Liv'!C54+'If Skadeforsikring NUF'!C54+KLP!C54+'KLP Bedriftspensjon AS'!C54+'KLP Skadeforsikring AS'!C54+'Landbruksforsikring AS'!C54+'NEMI Forsikring'!C54+'Nordea Liv '!C54+'Oslo Pensjonsforsikring'!C54+'Protector Forsikring'!C54+'SHB Liv'!C54+'Sparebank 1'!C54+'Storebrand Livsforsikring'!C54+'Telenor Forsikring'!C54+'Tryg Forsikring'!C54</f>
        <v>103684.90199999999</v>
      </c>
      <c r="D54" s="24">
        <f t="shared" si="22"/>
        <v>32.700000000000003</v>
      </c>
      <c r="E54" s="35"/>
      <c r="F54" s="5"/>
      <c r="G54" s="34"/>
      <c r="H54" s="33"/>
      <c r="I54" s="33"/>
      <c r="J54" s="32"/>
    </row>
    <row r="55" spans="1:10" s="3" customFormat="1" ht="15.75" customHeight="1" x14ac:dyDescent="0.2">
      <c r="A55" s="38" t="s">
        <v>383</v>
      </c>
      <c r="B55" s="44">
        <f>'Danica Pensjonsforsikring'!B55+'DNB Livsforsikring'!B55+'Eika Forsikring AS'!B55+'Frende Livsforsikring'!B55+'Frende Skadeforsikring'!B55+'Gjensidige Forsikring'!B55+'Gjensidige Pensjon'!B55+'Handelsbanken Liv'!B55+'If Skadeforsikring NUF'!B55+KLP!B55+'KLP Bedriftspensjon AS'!B55+'KLP Skadeforsikring AS'!B55+'Landbruksforsikring AS'!B55+'NEMI Forsikring'!B55+'Nordea Liv '!B55+'Oslo Pensjonsforsikring'!B55+'Protector Forsikring'!B55+'SHB Liv'!B55+'Sparebank 1'!B55+'Storebrand Livsforsikring'!B55+'Telenor Forsikring'!B55+'Tryg Forsikring'!B55</f>
        <v>0</v>
      </c>
      <c r="C55" s="44">
        <f>'Danica Pensjonsforsikring'!C55+'DNB Livsforsikring'!C55+'Eika Forsikring AS'!C55+'Frende Livsforsikring'!C55+'Frende Skadeforsikring'!C55+'Gjensidige Forsikring'!C55+'Gjensidige Pensjon'!C55+'Handelsbanken Liv'!C55+'If Skadeforsikring NUF'!C55+KLP!C55+'KLP Bedriftspensjon AS'!C55+'KLP Skadeforsikring AS'!C55+'Landbruksforsikring AS'!C55+'NEMI Forsikring'!C55+'Nordea Liv '!C55+'Oslo Pensjonsforsikring'!C55+'Protector Forsikring'!C55+'SHB Liv'!C55+'Sparebank 1'!C55+'Storebrand Livsforsikring'!C55+'Telenor Forsikring'!C55+'Tryg Forsikring'!C55</f>
        <v>87056</v>
      </c>
      <c r="D55" s="24" t="str">
        <f t="shared" si="22"/>
        <v xml:space="preserve">    ---- </v>
      </c>
      <c r="E55" s="35"/>
      <c r="F55" s="5"/>
      <c r="G55" s="34"/>
      <c r="H55" s="33"/>
      <c r="I55" s="33"/>
      <c r="J55" s="32"/>
    </row>
    <row r="56" spans="1:10" s="366" customFormat="1" ht="15.75" customHeight="1" x14ac:dyDescent="0.2">
      <c r="A56" s="39" t="s">
        <v>385</v>
      </c>
      <c r="B56" s="234">
        <f>'Danica Pensjonsforsikring'!B56+'DNB Livsforsikring'!B56+'Eika Forsikring AS'!B56+'Frende Livsforsikring'!B56+'Frende Skadeforsikring'!B56+'Gjensidige Forsikring'!B56+'Gjensidige Pensjon'!B56+'Handelsbanken Liv'!B56+'If Skadeforsikring NUF'!B56+KLP!B56+'KLP Bedriftspensjon AS'!B56+'KLP Skadeforsikring AS'!B56+'Landbruksforsikring AS'!B56+'NEMI Forsikring'!B56+'Nordea Liv '!B56+'Oslo Pensjonsforsikring'!B56+'Protector Forsikring'!B56+'SHB Liv'!B56+'Sparebank 1'!B56+'Storebrand Livsforsikring'!B56+'Telenor Forsikring'!B56+'Tryg Forsikring'!B56</f>
        <v>78329.883999999991</v>
      </c>
      <c r="C56" s="234">
        <f>'Danica Pensjonsforsikring'!C56+'DNB Livsforsikring'!C56+'Eika Forsikring AS'!C56+'Frende Livsforsikring'!C56+'Frende Skadeforsikring'!C56+'Gjensidige Forsikring'!C56+'Gjensidige Pensjon'!C56+'Handelsbanken Liv'!C56+'If Skadeforsikring NUF'!C56+KLP!C56+'KLP Bedriftspensjon AS'!C56+'KLP Skadeforsikring AS'!C56+'Landbruksforsikring AS'!C56+'NEMI Forsikring'!C56+'Nordea Liv '!C56+'Oslo Pensjonsforsikring'!C56+'Protector Forsikring'!C56+'SHB Liv'!C56+'Sparebank 1'!C56+'Storebrand Livsforsikring'!C56+'Telenor Forsikring'!C56+'Tryg Forsikring'!C56</f>
        <v>155583.511</v>
      </c>
      <c r="D56" s="24">
        <f t="shared" si="22"/>
        <v>98.6</v>
      </c>
      <c r="E56" s="367"/>
      <c r="F56" s="368"/>
      <c r="G56" s="32"/>
      <c r="H56" s="173"/>
      <c r="I56" s="173"/>
      <c r="J56" s="32"/>
    </row>
    <row r="57" spans="1:10" s="3" customFormat="1" ht="15.75" customHeight="1" x14ac:dyDescent="0.2">
      <c r="A57" s="38" t="s">
        <v>382</v>
      </c>
      <c r="B57" s="44">
        <f>'Danica Pensjonsforsikring'!B57+'DNB Livsforsikring'!B57+'Eika Forsikring AS'!B57+'Frende Livsforsikring'!B57+'Frende Skadeforsikring'!B57+'Gjensidige Forsikring'!B57+'Gjensidige Pensjon'!B57+'Handelsbanken Liv'!B57+'If Skadeforsikring NUF'!B57+KLP!B57+'KLP Bedriftspensjon AS'!B57+'KLP Skadeforsikring AS'!B57+'Landbruksforsikring AS'!B57+'NEMI Forsikring'!B57+'Nordea Liv '!B57+'Oslo Pensjonsforsikring'!B57+'Protector Forsikring'!B57+'SHB Liv'!B57+'Sparebank 1'!B57+'Storebrand Livsforsikring'!B57+'Telenor Forsikring'!B57+'Tryg Forsikring'!B57</f>
        <v>78326.61099999999</v>
      </c>
      <c r="C57" s="44">
        <f>'Danica Pensjonsforsikring'!C57+'DNB Livsforsikring'!C57+'Eika Forsikring AS'!C57+'Frende Livsforsikring'!C57+'Frende Skadeforsikring'!C57+'Gjensidige Forsikring'!C57+'Gjensidige Pensjon'!C57+'Handelsbanken Liv'!C57+'If Skadeforsikring NUF'!C57+KLP!C57+'KLP Bedriftspensjon AS'!C57+'KLP Skadeforsikring AS'!C57+'Landbruksforsikring AS'!C57+'NEMI Forsikring'!C57+'Nordea Liv '!C57+'Oslo Pensjonsforsikring'!C57+'Protector Forsikring'!C57+'SHB Liv'!C57+'Sparebank 1'!C57+'Storebrand Livsforsikring'!C57+'Telenor Forsikring'!C57+'Tryg Forsikring'!C57</f>
        <v>88990.998000000007</v>
      </c>
      <c r="D57" s="24">
        <f t="shared" si="22"/>
        <v>13.6</v>
      </c>
      <c r="E57" s="35"/>
      <c r="F57" s="5"/>
      <c r="G57" s="34"/>
      <c r="H57" s="33"/>
      <c r="I57" s="33"/>
      <c r="J57" s="32"/>
    </row>
    <row r="58" spans="1:10" s="3" customFormat="1" ht="15.75" customHeight="1" x14ac:dyDescent="0.2">
      <c r="A58" s="38" t="s">
        <v>383</v>
      </c>
      <c r="B58" s="45">
        <f>'Danica Pensjonsforsikring'!B58+'DNB Livsforsikring'!B58+'Eika Forsikring AS'!B58+'Frende Livsforsikring'!B58+'Frende Skadeforsikring'!B58+'Gjensidige Forsikring'!B58+'Gjensidige Pensjon'!B58+'Handelsbanken Liv'!B58+'If Skadeforsikring NUF'!B58+KLP!B58+'KLP Bedriftspensjon AS'!B58+'KLP Skadeforsikring AS'!B58+'Landbruksforsikring AS'!B58+'NEMI Forsikring'!B58+'Nordea Liv '!B58+'Oslo Pensjonsforsikring'!B58+'Protector Forsikring'!B58+'SHB Liv'!B58+'Sparebank 1'!B58+'Storebrand Livsforsikring'!B58+'Telenor Forsikring'!B58+'Tryg Forsikring'!B58</f>
        <v>3.2730000000000001</v>
      </c>
      <c r="C58" s="45">
        <f>'Danica Pensjonsforsikring'!C58+'DNB Livsforsikring'!C58+'Eika Forsikring AS'!C58+'Frende Livsforsikring'!C58+'Frende Skadeforsikring'!C58+'Gjensidige Forsikring'!C58+'Gjensidige Pensjon'!C58+'Handelsbanken Liv'!C58+'If Skadeforsikring NUF'!C58+KLP!C58+'KLP Bedriftspensjon AS'!C58+'KLP Skadeforsikring AS'!C58+'Landbruksforsikring AS'!C58+'NEMI Forsikring'!C58+'Nordea Liv '!C58+'Oslo Pensjonsforsikring'!C58+'Protector Forsikring'!C58+'SHB Liv'!C58+'Sparebank 1'!C58+'Storebrand Livsforsikring'!C58+'Telenor Forsikring'!C58+'Tryg Forsikring'!C58</f>
        <v>560.51300000000003</v>
      </c>
      <c r="D58" s="36">
        <f t="shared" si="22"/>
        <v>999</v>
      </c>
      <c r="E58" s="35"/>
      <c r="F58" s="5"/>
      <c r="G58" s="34"/>
      <c r="H58" s="33"/>
      <c r="I58" s="33"/>
      <c r="J58" s="32"/>
    </row>
    <row r="59" spans="1:10" s="3" customFormat="1" ht="15.75" customHeight="1" x14ac:dyDescent="0.25">
      <c r="A59" s="164"/>
      <c r="B59" s="30"/>
      <c r="C59" s="30"/>
      <c r="D59" s="30"/>
      <c r="E59" s="31"/>
      <c r="F59" s="31"/>
      <c r="G59" s="31"/>
      <c r="H59" s="31"/>
      <c r="I59" s="31"/>
      <c r="J59" s="31"/>
    </row>
    <row r="60" spans="1:10" ht="15.75" customHeight="1" x14ac:dyDescent="0.2">
      <c r="A60" s="155"/>
    </row>
    <row r="61" spans="1:10" ht="15.75" customHeight="1" x14ac:dyDescent="0.25">
      <c r="A61" s="147" t="s">
        <v>280</v>
      </c>
      <c r="C61" s="26"/>
      <c r="D61" s="25"/>
      <c r="E61" s="26"/>
      <c r="F61" s="26"/>
      <c r="G61" s="25"/>
      <c r="H61" s="26"/>
      <c r="I61" s="26"/>
      <c r="J61" s="25"/>
    </row>
    <row r="62" spans="1:10" ht="20.100000000000001" customHeight="1" x14ac:dyDescent="0.25">
      <c r="A62" s="149"/>
      <c r="B62" s="690"/>
      <c r="C62" s="690"/>
      <c r="D62" s="690"/>
      <c r="E62" s="690"/>
      <c r="F62" s="690"/>
      <c r="G62" s="690"/>
      <c r="H62" s="690"/>
      <c r="I62" s="690"/>
      <c r="J62" s="690"/>
    </row>
    <row r="63" spans="1:10" ht="15.75" customHeight="1" x14ac:dyDescent="0.2">
      <c r="A63" s="144"/>
      <c r="B63" s="691" t="s">
        <v>0</v>
      </c>
      <c r="C63" s="692"/>
      <c r="D63" s="692"/>
      <c r="E63" s="691" t="s">
        <v>1</v>
      </c>
      <c r="F63" s="692"/>
      <c r="G63" s="693"/>
      <c r="H63" s="692" t="s">
        <v>2</v>
      </c>
      <c r="I63" s="692"/>
      <c r="J63" s="693"/>
    </row>
    <row r="64" spans="1:10" ht="15.75" customHeight="1" x14ac:dyDescent="0.2">
      <c r="A64" s="140"/>
      <c r="B64" s="20" t="s">
        <v>422</v>
      </c>
      <c r="C64" s="20" t="s">
        <v>423</v>
      </c>
      <c r="D64" s="19" t="s">
        <v>3</v>
      </c>
      <c r="E64" s="20" t="s">
        <v>422</v>
      </c>
      <c r="F64" s="20" t="s">
        <v>423</v>
      </c>
      <c r="G64" s="19" t="s">
        <v>3</v>
      </c>
      <c r="H64" s="20" t="s">
        <v>422</v>
      </c>
      <c r="I64" s="20" t="s">
        <v>423</v>
      </c>
      <c r="J64" s="19" t="s">
        <v>3</v>
      </c>
    </row>
    <row r="65" spans="1:10" ht="15.75" customHeight="1" x14ac:dyDescent="0.2">
      <c r="A65" s="666"/>
      <c r="B65" s="15"/>
      <c r="C65" s="15"/>
      <c r="D65" s="17" t="s">
        <v>4</v>
      </c>
      <c r="E65" s="16"/>
      <c r="F65" s="16"/>
      <c r="G65" s="15" t="s">
        <v>4</v>
      </c>
      <c r="H65" s="16"/>
      <c r="I65" s="16"/>
      <c r="J65" s="15" t="s">
        <v>4</v>
      </c>
    </row>
    <row r="66" spans="1:10" s="43" customFormat="1" ht="15.75" customHeight="1" x14ac:dyDescent="0.2">
      <c r="A66" s="14" t="s">
        <v>23</v>
      </c>
      <c r="B66" s="326">
        <f>'Danica Pensjonsforsikring'!B66+'DNB Livsforsikring'!B66+'Eika Forsikring AS'!B66+'Frende Livsforsikring'!B66+'Frende Skadeforsikring'!B66+'Gjensidige Forsikring'!B66+'Gjensidige Pensjon'!B66+'Handelsbanken Liv'!B66+'If Skadeforsikring NUF'!B66+KLP!B66+'KLP Bedriftspensjon AS'!B66+'KLP Skadeforsikring AS'!B66+'Landbruksforsikring AS'!B66+'NEMI Forsikring'!B66+'Nordea Liv '!B66+'Oslo Pensjonsforsikring'!B66+'Protector Forsikring'!B66+'SHB Liv'!B66+'Sparebank 1'!B66+'Storebrand Livsforsikring'!B66+'Telenor Forsikring'!B66+'Tryg Forsikring'!B66</f>
        <v>5507992.5312899994</v>
      </c>
      <c r="C66" s="326">
        <f>'Danica Pensjonsforsikring'!C66+'DNB Livsforsikring'!C66+'Eika Forsikring AS'!C66+'Frende Livsforsikring'!C66+'Frende Skadeforsikring'!C66+'Gjensidige Forsikring'!C66+'Gjensidige Pensjon'!C66+'Handelsbanken Liv'!C66+'If Skadeforsikring NUF'!C66+KLP!C66+'KLP Bedriftspensjon AS'!C66+'KLP Skadeforsikring AS'!C66+'Landbruksforsikring AS'!C66+'NEMI Forsikring'!C66+'Nordea Liv '!C66+'Oslo Pensjonsforsikring'!C66+'Protector Forsikring'!C66+'SHB Liv'!C66+'Sparebank 1'!C66+'Storebrand Livsforsikring'!C66+'Telenor Forsikring'!C66+'Tryg Forsikring'!C66</f>
        <v>5371394.7729599997</v>
      </c>
      <c r="D66" s="24">
        <f t="shared" ref="D66:D111" si="23">IF(B66=0, "    ---- ", IF(ABS(ROUND(100/B66*C66-100,1))&lt;999,ROUND(100/B66*C66-100,1),IF(ROUND(100/B66*C66-100,1)&gt;999,999,-999)))</f>
        <v>-2.5</v>
      </c>
      <c r="E66" s="234">
        <f>'Danica Pensjonsforsikring'!F66+'DNB Livsforsikring'!F66+'Eika Forsikring AS'!F66+'Frende Livsforsikring'!F66+'Frende Skadeforsikring'!F66+'Gjensidige Forsikring'!F66+'Gjensidige Pensjon'!F66+'Handelsbanken Liv'!F66+'If Skadeforsikring NUF'!F66+KLP!F66+'KLP Bedriftspensjon AS'!F66+'KLP Skadeforsikring AS'!F66+'Landbruksforsikring AS'!F66+'NEMI Forsikring'!F66+'Nordea Liv '!F66+'Oslo Pensjonsforsikring'!F66+'Protector Forsikring'!F66+'SHB Liv'!F66+'Sparebank 1'!F66+'Storebrand Livsforsikring'!F66+'Telenor Forsikring'!F66+'Tryg Forsikring'!F66</f>
        <v>14177897.093189999</v>
      </c>
      <c r="F66" s="234">
        <f>'Danica Pensjonsforsikring'!G66+'DNB Livsforsikring'!G66+'Eika Forsikring AS'!G66+'Frende Livsforsikring'!G66+'Frende Skadeforsikring'!G66+'Gjensidige Forsikring'!G66+'Gjensidige Pensjon'!G66+'Handelsbanken Liv'!G66+'If Skadeforsikring NUF'!G66+KLP!G66+'KLP Bedriftspensjon AS'!G66+'KLP Skadeforsikring AS'!G66+'Landbruksforsikring AS'!G66+'NEMI Forsikring'!G66+'Nordea Liv '!G66+'Oslo Pensjonsforsikring'!G66+'Protector Forsikring'!G66+'SHB Liv'!G66+'Sparebank 1'!G66+'Storebrand Livsforsikring'!G66+'Telenor Forsikring'!G66+'Tryg Forsikring'!G66</f>
        <v>15723703.786499999</v>
      </c>
      <c r="G66" s="171">
        <f t="shared" ref="G66:G125" si="24">IF(E66=0, "    ---- ", IF(ABS(ROUND(100/E66*F66-100,1))&lt;999,ROUND(100/E66*F66-100,1),IF(ROUND(100/E66*F66-100,1)&gt;999,999,-999)))</f>
        <v>10.9</v>
      </c>
      <c r="H66" s="326">
        <f t="shared" ref="H66:H86" si="25">SUM(B66,E66)</f>
        <v>19685889.624479998</v>
      </c>
      <c r="I66" s="326">
        <f t="shared" ref="I66:I86" si="26">SUM(C66,F66)</f>
        <v>21095098.559459999</v>
      </c>
      <c r="J66" s="24">
        <f t="shared" ref="J66:J111" si="27">IF(H66=0, "    ---- ", IF(ABS(ROUND(100/H66*I66-100,1))&lt;999,ROUND(100/H66*I66-100,1),IF(ROUND(100/H66*I66-100,1)&gt;999,999,-999)))</f>
        <v>7.2</v>
      </c>
    </row>
    <row r="67" spans="1:10" ht="15.75" customHeight="1" x14ac:dyDescent="0.25">
      <c r="A67" s="21" t="s">
        <v>9</v>
      </c>
      <c r="B67" s="232">
        <f>'Danica Pensjonsforsikring'!B67+'DNB Livsforsikring'!B67+'Eika Forsikring AS'!B67+'Frende Livsforsikring'!B67+'Frende Skadeforsikring'!B67+'Gjensidige Forsikring'!B67+'Gjensidige Pensjon'!B67+'Handelsbanken Liv'!B67+'If Skadeforsikring NUF'!B67+KLP!B67+'KLP Bedriftspensjon AS'!B67+'KLP Skadeforsikring AS'!B67+'Landbruksforsikring AS'!B67+'NEMI Forsikring'!B67+'Nordea Liv '!B67+'Oslo Pensjonsforsikring'!B67+'Protector Forsikring'!B67+'SHB Liv'!B67+'Sparebank 1'!B67+'Storebrand Livsforsikring'!B67+'Telenor Forsikring'!B67+'Tryg Forsikring'!B67</f>
        <v>4493117.1516399998</v>
      </c>
      <c r="C67" s="232">
        <f>'Danica Pensjonsforsikring'!C67+'DNB Livsforsikring'!C67+'Eika Forsikring AS'!C67+'Frende Livsforsikring'!C67+'Frende Skadeforsikring'!C67+'Gjensidige Forsikring'!C67+'Gjensidige Pensjon'!C67+'Handelsbanken Liv'!C67+'If Skadeforsikring NUF'!C67+KLP!C67+'KLP Bedriftspensjon AS'!C67+'KLP Skadeforsikring AS'!C67+'Landbruksforsikring AS'!C67+'NEMI Forsikring'!C67+'Nordea Liv '!C67+'Oslo Pensjonsforsikring'!C67+'Protector Forsikring'!C67+'SHB Liv'!C67+'Sparebank 1'!C67+'Storebrand Livsforsikring'!C67+'Telenor Forsikring'!C67+'Tryg Forsikring'!C67</f>
        <v>4174019.9574699998</v>
      </c>
      <c r="D67" s="239">
        <f t="shared" si="23"/>
        <v>-7.1</v>
      </c>
      <c r="E67" s="44">
        <f>'Danica Pensjonsforsikring'!F67+'DNB Livsforsikring'!F67+'Eika Forsikring AS'!F67+'Frende Livsforsikring'!F67+'Frende Skadeforsikring'!F67+'Gjensidige Forsikring'!F67+'Gjensidige Pensjon'!F67+'Handelsbanken Liv'!F67+'If Skadeforsikring NUF'!F67+KLP!F67+'KLP Bedriftspensjon AS'!F67+'KLP Skadeforsikring AS'!F67+'Landbruksforsikring AS'!F67+'NEMI Forsikring'!F67+'Nordea Liv '!F67+'Oslo Pensjonsforsikring'!F67+'Protector Forsikring'!F67+'SHB Liv'!F67+'Sparebank 1'!F67+'Storebrand Livsforsikring'!F67+'Telenor Forsikring'!F67+'Tryg Forsikring'!F67</f>
        <v>0</v>
      </c>
      <c r="F67" s="44">
        <f>'Danica Pensjonsforsikring'!G67+'DNB Livsforsikring'!G67+'Eika Forsikring AS'!G67+'Frende Livsforsikring'!G67+'Frende Skadeforsikring'!G67+'Gjensidige Forsikring'!G67+'Gjensidige Pensjon'!G67+'Handelsbanken Liv'!G67+'If Skadeforsikring NUF'!G67+KLP!G67+'KLP Bedriftspensjon AS'!G67+'KLP Skadeforsikring AS'!G67+'Landbruksforsikring AS'!G67+'NEMI Forsikring'!G67+'Nordea Liv '!G67+'Oslo Pensjonsforsikring'!G67+'Protector Forsikring'!G67+'SHB Liv'!G67+'Sparebank 1'!G67+'Storebrand Livsforsikring'!G67+'Telenor Forsikring'!G67+'Tryg Forsikring'!G67</f>
        <v>0</v>
      </c>
      <c r="G67" s="171"/>
      <c r="H67" s="235">
        <f t="shared" si="25"/>
        <v>4493117.1516399998</v>
      </c>
      <c r="I67" s="235">
        <f t="shared" si="26"/>
        <v>4174019.9574699998</v>
      </c>
      <c r="J67" s="23">
        <f t="shared" si="27"/>
        <v>-7.1</v>
      </c>
    </row>
    <row r="68" spans="1:10" ht="15.75" customHeight="1" x14ac:dyDescent="0.25">
      <c r="A68" s="21" t="s">
        <v>10</v>
      </c>
      <c r="B68" s="232">
        <f>'Danica Pensjonsforsikring'!B68+'DNB Livsforsikring'!B68+'Eika Forsikring AS'!B68+'Frende Livsforsikring'!B68+'Frende Skadeforsikring'!B68+'Gjensidige Forsikring'!B68+'Gjensidige Pensjon'!B68+'Handelsbanken Liv'!B68+'If Skadeforsikring NUF'!B68+KLP!B68+'KLP Bedriftspensjon AS'!B68+'KLP Skadeforsikring AS'!B68+'Landbruksforsikring AS'!B68+'NEMI Forsikring'!B68+'Nordea Liv '!B68+'Oslo Pensjonsforsikring'!B68+'Protector Forsikring'!B68+'SHB Liv'!B68+'Sparebank 1'!B68+'Storebrand Livsforsikring'!B68+'Telenor Forsikring'!B68+'Tryg Forsikring'!B68</f>
        <v>112817.36937</v>
      </c>
      <c r="C68" s="232">
        <f>'Danica Pensjonsforsikring'!C68+'DNB Livsforsikring'!C68+'Eika Forsikring AS'!C68+'Frende Livsforsikring'!C68+'Frende Skadeforsikring'!C68+'Gjensidige Forsikring'!C68+'Gjensidige Pensjon'!C68+'Handelsbanken Liv'!C68+'If Skadeforsikring NUF'!C68+KLP!C68+'KLP Bedriftspensjon AS'!C68+'KLP Skadeforsikring AS'!C68+'Landbruksforsikring AS'!C68+'NEMI Forsikring'!C68+'Nordea Liv '!C68+'Oslo Pensjonsforsikring'!C68+'Protector Forsikring'!C68+'SHB Liv'!C68+'Sparebank 1'!C68+'Storebrand Livsforsikring'!C68+'Telenor Forsikring'!C68+'Tryg Forsikring'!C68</f>
        <v>113458.54446999999</v>
      </c>
      <c r="D68" s="239">
        <f t="shared" si="23"/>
        <v>0.6</v>
      </c>
      <c r="E68" s="44">
        <f>'Danica Pensjonsforsikring'!F68+'DNB Livsforsikring'!F68+'Eika Forsikring AS'!F68+'Frende Livsforsikring'!F68+'Frende Skadeforsikring'!F68+'Gjensidige Forsikring'!F68+'Gjensidige Pensjon'!F68+'Handelsbanken Liv'!F68+'If Skadeforsikring NUF'!F68+KLP!F68+'KLP Bedriftspensjon AS'!F68+'KLP Skadeforsikring AS'!F68+'Landbruksforsikring AS'!F68+'NEMI Forsikring'!F68+'Nordea Liv '!F68+'Oslo Pensjonsforsikring'!F68+'Protector Forsikring'!F68+'SHB Liv'!F68+'Sparebank 1'!F68+'Storebrand Livsforsikring'!F68+'Telenor Forsikring'!F68+'Tryg Forsikring'!F68</f>
        <v>13980079.274530001</v>
      </c>
      <c r="F68" s="44">
        <f>'Danica Pensjonsforsikring'!G68+'DNB Livsforsikring'!G68+'Eika Forsikring AS'!G68+'Frende Livsforsikring'!G68+'Frende Skadeforsikring'!G68+'Gjensidige Forsikring'!G68+'Gjensidige Pensjon'!G68+'Handelsbanken Liv'!G68+'If Skadeforsikring NUF'!G68+KLP!G68+'KLP Bedriftspensjon AS'!G68+'KLP Skadeforsikring AS'!G68+'Landbruksforsikring AS'!G68+'NEMI Forsikring'!G68+'Nordea Liv '!G68+'Oslo Pensjonsforsikring'!G68+'Protector Forsikring'!G68+'SHB Liv'!G68+'Sparebank 1'!G68+'Storebrand Livsforsikring'!G68+'Telenor Forsikring'!G68+'Tryg Forsikring'!G68</f>
        <v>15515185.414980002</v>
      </c>
      <c r="G68" s="171">
        <f t="shared" si="24"/>
        <v>11</v>
      </c>
      <c r="H68" s="235">
        <f t="shared" si="25"/>
        <v>14092896.643900001</v>
      </c>
      <c r="I68" s="235">
        <f t="shared" si="26"/>
        <v>15628643.959450001</v>
      </c>
      <c r="J68" s="23">
        <f t="shared" si="27"/>
        <v>10.9</v>
      </c>
    </row>
    <row r="69" spans="1:10" ht="15.75" customHeight="1" x14ac:dyDescent="0.2">
      <c r="A69" s="294" t="s">
        <v>386</v>
      </c>
      <c r="B69" s="44"/>
      <c r="C69" s="44"/>
      <c r="D69" s="27"/>
      <c r="E69" s="44"/>
      <c r="F69" s="44"/>
      <c r="G69" s="171"/>
      <c r="H69" s="235"/>
      <c r="I69" s="235"/>
      <c r="J69" s="23"/>
    </row>
    <row r="70" spans="1:10" ht="15.75" customHeight="1" x14ac:dyDescent="0.2">
      <c r="A70" s="294" t="s">
        <v>12</v>
      </c>
      <c r="B70" s="233"/>
      <c r="C70" s="233"/>
      <c r="D70" s="27"/>
      <c r="E70" s="44"/>
      <c r="F70" s="44"/>
      <c r="G70" s="171"/>
      <c r="H70" s="235"/>
      <c r="I70" s="235"/>
      <c r="J70" s="23"/>
    </row>
    <row r="71" spans="1:10" ht="15.75" customHeight="1" x14ac:dyDescent="0.2">
      <c r="A71" s="294" t="s">
        <v>13</v>
      </c>
      <c r="B71" s="233"/>
      <c r="C71" s="233"/>
      <c r="D71" s="27"/>
      <c r="E71" s="44"/>
      <c r="F71" s="44"/>
      <c r="G71" s="171"/>
      <c r="H71" s="235"/>
      <c r="I71" s="235"/>
      <c r="J71" s="23"/>
    </row>
    <row r="72" spans="1:10" ht="15.75" customHeight="1" x14ac:dyDescent="0.2">
      <c r="A72" s="294" t="s">
        <v>387</v>
      </c>
      <c r="B72" s="44"/>
      <c r="C72" s="44"/>
      <c r="D72" s="27"/>
      <c r="E72" s="44"/>
      <c r="F72" s="44"/>
      <c r="G72" s="171"/>
      <c r="H72" s="235"/>
      <c r="I72" s="235"/>
      <c r="J72" s="24"/>
    </row>
    <row r="73" spans="1:10" ht="15.75" customHeight="1" x14ac:dyDescent="0.2">
      <c r="A73" s="294" t="s">
        <v>12</v>
      </c>
      <c r="B73" s="233"/>
      <c r="C73" s="233"/>
      <c r="D73" s="27"/>
      <c r="E73" s="44"/>
      <c r="F73" s="44"/>
      <c r="G73" s="171"/>
      <c r="H73" s="235"/>
      <c r="I73" s="235"/>
      <c r="J73" s="23"/>
    </row>
    <row r="74" spans="1:10" s="3" customFormat="1" ht="15.75" customHeight="1" x14ac:dyDescent="0.2">
      <c r="A74" s="294" t="s">
        <v>13</v>
      </c>
      <c r="B74" s="233"/>
      <c r="C74" s="233"/>
      <c r="D74" s="27"/>
      <c r="E74" s="44"/>
      <c r="F74" s="44"/>
      <c r="G74" s="171"/>
      <c r="H74" s="235"/>
      <c r="I74" s="235"/>
      <c r="J74" s="23"/>
    </row>
    <row r="75" spans="1:10" s="3" customFormat="1" ht="15.75" customHeight="1" x14ac:dyDescent="0.2">
      <c r="A75" s="21" t="s">
        <v>356</v>
      </c>
      <c r="B75" s="44">
        <f>'Danica Pensjonsforsikring'!B75+'DNB Livsforsikring'!B75+'Eika Forsikring AS'!B75+'Frende Livsforsikring'!B75+'Frende Skadeforsikring'!B75+'Gjensidige Forsikring'!B75+'Gjensidige Pensjon'!B75+'Handelsbanken Liv'!B75+'If Skadeforsikring NUF'!B75+KLP!B75+'KLP Bedriftspensjon AS'!B75+'KLP Skadeforsikring AS'!B75+'Landbruksforsikring AS'!B75+'NEMI Forsikring'!B75+'Nordea Liv '!B75+'Oslo Pensjonsforsikring'!B75+'Protector Forsikring'!B75+'SHB Liv'!B75+'Sparebank 1'!B75+'Storebrand Livsforsikring'!B75+'Telenor Forsikring'!B75+'Tryg Forsikring'!B75</f>
        <v>170231.05813999998</v>
      </c>
      <c r="C75" s="44">
        <f>'Danica Pensjonsforsikring'!C75+'DNB Livsforsikring'!C75+'Eika Forsikring AS'!C75+'Frende Livsforsikring'!C75+'Frende Skadeforsikring'!C75+'Gjensidige Forsikring'!C75+'Gjensidige Pensjon'!C75+'Handelsbanken Liv'!C75+'If Skadeforsikring NUF'!C75+KLP!C75+'KLP Bedriftspensjon AS'!C75+'KLP Skadeforsikring AS'!C75+'Landbruksforsikring AS'!C75+'NEMI Forsikring'!C75+'Nordea Liv '!C75+'Oslo Pensjonsforsikring'!C75+'Protector Forsikring'!C75+'SHB Liv'!C75+'Sparebank 1'!C75+'Storebrand Livsforsikring'!C75+'Telenor Forsikring'!C75+'Tryg Forsikring'!C75</f>
        <v>203073.50758</v>
      </c>
      <c r="D75" s="23">
        <f t="shared" si="23"/>
        <v>19.3</v>
      </c>
      <c r="E75" s="44">
        <f>'Danica Pensjonsforsikring'!F75+'DNB Livsforsikring'!F75+'Eika Forsikring AS'!F75+'Frende Livsforsikring'!F75+'Frende Skadeforsikring'!F75+'Gjensidige Forsikring'!F75+'Gjensidige Pensjon'!F75+'Handelsbanken Liv'!F75+'If Skadeforsikring NUF'!F75+KLP!F75+'KLP Bedriftspensjon AS'!F75+'KLP Skadeforsikring AS'!F75+'Landbruksforsikring AS'!F75+'NEMI Forsikring'!F75+'Nordea Liv '!F75+'Oslo Pensjonsforsikring'!F75+'Protector Forsikring'!F75+'SHB Liv'!F75+'Sparebank 1'!F75+'Storebrand Livsforsikring'!F75+'Telenor Forsikring'!F75+'Tryg Forsikring'!F75</f>
        <v>197817.81865999999</v>
      </c>
      <c r="F75" s="44">
        <f>'Danica Pensjonsforsikring'!G75+'DNB Livsforsikring'!G75+'Eika Forsikring AS'!G75+'Frende Livsforsikring'!G75+'Frende Skadeforsikring'!G75+'Gjensidige Forsikring'!G75+'Gjensidige Pensjon'!G75+'Handelsbanken Liv'!G75+'If Skadeforsikring NUF'!G75+KLP!G75+'KLP Bedriftspensjon AS'!G75+'KLP Skadeforsikring AS'!G75+'Landbruksforsikring AS'!G75+'NEMI Forsikring'!G75+'Nordea Liv '!G75+'Oslo Pensjonsforsikring'!G75+'Protector Forsikring'!G75+'SHB Liv'!G75+'Sparebank 1'!G75+'Storebrand Livsforsikring'!G75+'Telenor Forsikring'!G75+'Tryg Forsikring'!G75</f>
        <v>208518.37151999999</v>
      </c>
      <c r="G75" s="171">
        <f t="shared" si="24"/>
        <v>5.4</v>
      </c>
      <c r="H75" s="235">
        <f t="shared" si="25"/>
        <v>368048.87679999997</v>
      </c>
      <c r="I75" s="235">
        <f t="shared" si="26"/>
        <v>411591.87910000002</v>
      </c>
      <c r="J75" s="23">
        <f t="shared" si="27"/>
        <v>11.8</v>
      </c>
    </row>
    <row r="76" spans="1:10" s="3" customFormat="1" ht="15.75" customHeight="1" x14ac:dyDescent="0.2">
      <c r="A76" s="21" t="s">
        <v>355</v>
      </c>
      <c r="B76" s="44">
        <f>'Danica Pensjonsforsikring'!B76+'DNB Livsforsikring'!B76+'Eika Forsikring AS'!B76+'Frende Livsforsikring'!B76+'Frende Skadeforsikring'!B76+'Gjensidige Forsikring'!B76+'Gjensidige Pensjon'!B76+'Handelsbanken Liv'!B76+'If Skadeforsikring NUF'!B76+KLP!B76+'KLP Bedriftspensjon AS'!B76+'KLP Skadeforsikring AS'!B76+'Landbruksforsikring AS'!B76+'NEMI Forsikring'!B76+'Nordea Liv '!B76+'Oslo Pensjonsforsikring'!B76+'Protector Forsikring'!B76+'SHB Liv'!B76+'Sparebank 1'!B76+'Storebrand Livsforsikring'!B76+'Telenor Forsikring'!B76+'Tryg Forsikring'!B76</f>
        <v>731826.95213999995</v>
      </c>
      <c r="C76" s="44">
        <f>'Danica Pensjonsforsikring'!C76+'DNB Livsforsikring'!C76+'Eika Forsikring AS'!C76+'Frende Livsforsikring'!C76+'Frende Skadeforsikring'!C76+'Gjensidige Forsikring'!C76+'Gjensidige Pensjon'!C76+'Handelsbanken Liv'!C76+'If Skadeforsikring NUF'!C76+KLP!C76+'KLP Bedriftspensjon AS'!C76+'KLP Skadeforsikring AS'!C76+'Landbruksforsikring AS'!C76+'NEMI Forsikring'!C76+'Nordea Liv '!C76+'Oslo Pensjonsforsikring'!C76+'Protector Forsikring'!C76+'SHB Liv'!C76+'Sparebank 1'!C76+'Storebrand Livsforsikring'!C76+'Telenor Forsikring'!C76+'Tryg Forsikring'!C76</f>
        <v>880842.76344000001</v>
      </c>
      <c r="D76" s="23">
        <f t="shared" ref="D76" si="28">IF(B76=0, "    ---- ", IF(ABS(ROUND(100/B76*C76-100,1))&lt;999,ROUND(100/B76*C76-100,1),IF(ROUND(100/B76*C76-100,1)&gt;999,999,-999)))</f>
        <v>20.399999999999999</v>
      </c>
      <c r="E76" s="44">
        <f>'Danica Pensjonsforsikring'!F76+'DNB Livsforsikring'!F76+'Eika Forsikring AS'!F76+'Frende Livsforsikring'!F76+'Frende Skadeforsikring'!F76+'Gjensidige Forsikring'!F76+'Gjensidige Pensjon'!F76+'Handelsbanken Liv'!F76+'If Skadeforsikring NUF'!F76+KLP!F76+'KLP Bedriftspensjon AS'!F76+'KLP Skadeforsikring AS'!F76+'Landbruksforsikring AS'!F76+'NEMI Forsikring'!F76+'Nordea Liv '!F76+'Oslo Pensjonsforsikring'!F76+'Protector Forsikring'!F76+'SHB Liv'!F76+'Sparebank 1'!F76+'Storebrand Livsforsikring'!F76+'Telenor Forsikring'!F76+'Tryg Forsikring'!F76</f>
        <v>0</v>
      </c>
      <c r="F76" s="44">
        <f>'Danica Pensjonsforsikring'!G76+'DNB Livsforsikring'!G76+'Eika Forsikring AS'!G76+'Frende Livsforsikring'!G76+'Frende Skadeforsikring'!G76+'Gjensidige Forsikring'!G76+'Gjensidige Pensjon'!G76+'Handelsbanken Liv'!G76+'If Skadeforsikring NUF'!G76+KLP!G76+'KLP Bedriftspensjon AS'!G76+'KLP Skadeforsikring AS'!G76+'Landbruksforsikring AS'!G76+'NEMI Forsikring'!G76+'Nordea Liv '!G76+'Oslo Pensjonsforsikring'!G76+'Protector Forsikring'!G76+'SHB Liv'!G76+'Sparebank 1'!G76+'Storebrand Livsforsikring'!G76+'Telenor Forsikring'!G76+'Tryg Forsikring'!G76</f>
        <v>0</v>
      </c>
      <c r="G76" s="171"/>
      <c r="H76" s="235">
        <f t="shared" ref="H76" si="29">SUM(B76,E76)</f>
        <v>731826.95213999995</v>
      </c>
      <c r="I76" s="235">
        <f t="shared" ref="I76" si="30">SUM(C76,F76)</f>
        <v>880842.76344000001</v>
      </c>
      <c r="J76" s="23">
        <f t="shared" ref="J76" si="31">IF(H76=0, "    ---- ", IF(ABS(ROUND(100/H76*I76-100,1))&lt;999,ROUND(100/H76*I76-100,1),IF(ROUND(100/H76*I76-100,1)&gt;999,999,-999)))</f>
        <v>20.399999999999999</v>
      </c>
    </row>
    <row r="77" spans="1:10" ht="15.75" customHeight="1" x14ac:dyDescent="0.2">
      <c r="A77" s="21" t="s">
        <v>388</v>
      </c>
      <c r="B77" s="44">
        <f>'Danica Pensjonsforsikring'!B77+'DNB Livsforsikring'!B77+'Eika Forsikring AS'!B77+'Frende Livsforsikring'!B77+'Frende Skadeforsikring'!B77+'Gjensidige Forsikring'!B77+'Gjensidige Pensjon'!B77+'Handelsbanken Liv'!B77+'If Skadeforsikring NUF'!B77+KLP!B77+'KLP Bedriftspensjon AS'!B77+'KLP Skadeforsikring AS'!B77+'Landbruksforsikring AS'!B77+'NEMI Forsikring'!B77+'Nordea Liv '!B77+'Oslo Pensjonsforsikring'!B77+'Protector Forsikring'!B77+'SHB Liv'!B77+'Sparebank 1'!B77+'Storebrand Livsforsikring'!B77+'Telenor Forsikring'!B77+'Tryg Forsikring'!B77</f>
        <v>4460883.0500099994</v>
      </c>
      <c r="C77" s="44">
        <f>'Danica Pensjonsforsikring'!C77+'DNB Livsforsikring'!C77+'Eika Forsikring AS'!C77+'Frende Livsforsikring'!C77+'Frende Skadeforsikring'!C77+'Gjensidige Forsikring'!C77+'Gjensidige Pensjon'!C77+'Handelsbanken Liv'!C77+'If Skadeforsikring NUF'!C77+KLP!C77+'KLP Bedriftspensjon AS'!C77+'KLP Skadeforsikring AS'!C77+'Landbruksforsikring AS'!C77+'NEMI Forsikring'!C77+'Nordea Liv '!C77+'Oslo Pensjonsforsikring'!C77+'Protector Forsikring'!C77+'SHB Liv'!C77+'Sparebank 1'!C77+'Storebrand Livsforsikring'!C77+'Telenor Forsikring'!C77+'Tryg Forsikring'!C77</f>
        <v>4223613.7168199997</v>
      </c>
      <c r="D77" s="23">
        <f t="shared" si="23"/>
        <v>-5.3</v>
      </c>
      <c r="E77" s="44">
        <f>'Danica Pensjonsforsikring'!F77+'DNB Livsforsikring'!F77+'Eika Forsikring AS'!F77+'Frende Livsforsikring'!F77+'Frende Skadeforsikring'!F77+'Gjensidige Forsikring'!F77+'Gjensidige Pensjon'!F77+'Handelsbanken Liv'!F77+'If Skadeforsikring NUF'!F77+KLP!F77+'KLP Bedriftspensjon AS'!F77+'KLP Skadeforsikring AS'!F77+'Landbruksforsikring AS'!F77+'NEMI Forsikring'!F77+'Nordea Liv '!F77+'Oslo Pensjonsforsikring'!F77+'Protector Forsikring'!F77+'SHB Liv'!F77+'Sparebank 1'!F77+'Storebrand Livsforsikring'!F77+'Telenor Forsikring'!F77+'Tryg Forsikring'!F77</f>
        <v>13973311.465700001</v>
      </c>
      <c r="F77" s="44">
        <f>'Danica Pensjonsforsikring'!G77+'DNB Livsforsikring'!G77+'Eika Forsikring AS'!G77+'Frende Livsforsikring'!G77+'Frende Skadeforsikring'!G77+'Gjensidige Forsikring'!G77+'Gjensidige Pensjon'!G77+'Handelsbanken Liv'!G77+'If Skadeforsikring NUF'!G77+KLP!G77+'KLP Bedriftspensjon AS'!G77+'KLP Skadeforsikring AS'!G77+'Landbruksforsikring AS'!G77+'NEMI Forsikring'!G77+'Nordea Liv '!G77+'Oslo Pensjonsforsikring'!G77+'Protector Forsikring'!G77+'SHB Liv'!G77+'Sparebank 1'!G77+'Storebrand Livsforsikring'!G77+'Telenor Forsikring'!G77+'Tryg Forsikring'!G77</f>
        <v>15508453.745019998</v>
      </c>
      <c r="G77" s="171">
        <f t="shared" si="24"/>
        <v>11</v>
      </c>
      <c r="H77" s="235">
        <f t="shared" si="25"/>
        <v>18434194.51571</v>
      </c>
      <c r="I77" s="235">
        <f t="shared" si="26"/>
        <v>19732067.461839996</v>
      </c>
      <c r="J77" s="23">
        <f t="shared" si="27"/>
        <v>7</v>
      </c>
    </row>
    <row r="78" spans="1:10" ht="15.75" customHeight="1" x14ac:dyDescent="0.2">
      <c r="A78" s="21" t="s">
        <v>9</v>
      </c>
      <c r="B78" s="44">
        <f>'Danica Pensjonsforsikring'!B78+'DNB Livsforsikring'!B78+'Eika Forsikring AS'!B78+'Frende Livsforsikring'!B78+'Frende Skadeforsikring'!B78+'Gjensidige Forsikring'!B78+'Gjensidige Pensjon'!B78+'Handelsbanken Liv'!B78+'If Skadeforsikring NUF'!B78+KLP!B78+'KLP Bedriftspensjon AS'!B78+'KLP Skadeforsikring AS'!B78+'Landbruksforsikring AS'!B78+'NEMI Forsikring'!B78+'Nordea Liv '!B78+'Oslo Pensjonsforsikring'!B78+'Protector Forsikring'!B78+'SHB Liv'!B78+'Sparebank 1'!B78+'Storebrand Livsforsikring'!B78+'Telenor Forsikring'!B78+'Tryg Forsikring'!B78</f>
        <v>4350396.8036400005</v>
      </c>
      <c r="C78" s="44">
        <f>'Danica Pensjonsforsikring'!C78+'DNB Livsforsikring'!C78+'Eika Forsikring AS'!C78+'Frende Livsforsikring'!C78+'Frende Skadeforsikring'!C78+'Gjensidige Forsikring'!C78+'Gjensidige Pensjon'!C78+'Handelsbanken Liv'!C78+'If Skadeforsikring NUF'!C78+KLP!C78+'KLP Bedriftspensjon AS'!C78+'KLP Skadeforsikring AS'!C78+'Landbruksforsikring AS'!C78+'NEMI Forsikring'!C78+'Nordea Liv '!C78+'Oslo Pensjonsforsikring'!C78+'Protector Forsikring'!C78+'SHB Liv'!C78+'Sparebank 1'!C78+'Storebrand Livsforsikring'!C78+'Telenor Forsikring'!C78+'Tryg Forsikring'!C78</f>
        <v>4112236.5993499998</v>
      </c>
      <c r="D78" s="23">
        <f t="shared" si="23"/>
        <v>-5.5</v>
      </c>
      <c r="E78" s="44">
        <f>'Danica Pensjonsforsikring'!F78+'DNB Livsforsikring'!F78+'Eika Forsikring AS'!F78+'Frende Livsforsikring'!F78+'Frende Skadeforsikring'!F78+'Gjensidige Forsikring'!F78+'Gjensidige Pensjon'!F78+'Handelsbanken Liv'!F78+'If Skadeforsikring NUF'!F78+KLP!F78+'KLP Bedriftspensjon AS'!F78+'KLP Skadeforsikring AS'!F78+'Landbruksforsikring AS'!F78+'NEMI Forsikring'!F78+'Nordea Liv '!F78+'Oslo Pensjonsforsikring'!F78+'Protector Forsikring'!F78+'SHB Liv'!F78+'Sparebank 1'!F78+'Storebrand Livsforsikring'!F78+'Telenor Forsikring'!F78+'Tryg Forsikring'!F78</f>
        <v>0</v>
      </c>
      <c r="F78" s="44">
        <f>'Danica Pensjonsforsikring'!G78+'DNB Livsforsikring'!G78+'Eika Forsikring AS'!G78+'Frende Livsforsikring'!G78+'Frende Skadeforsikring'!G78+'Gjensidige Forsikring'!G78+'Gjensidige Pensjon'!G78+'Handelsbanken Liv'!G78+'If Skadeforsikring NUF'!G78+KLP!G78+'KLP Bedriftspensjon AS'!G78+'KLP Skadeforsikring AS'!G78+'Landbruksforsikring AS'!G78+'NEMI Forsikring'!G78+'Nordea Liv '!G78+'Oslo Pensjonsforsikring'!G78+'Protector Forsikring'!G78+'SHB Liv'!G78+'Sparebank 1'!G78+'Storebrand Livsforsikring'!G78+'Telenor Forsikring'!G78+'Tryg Forsikring'!G78</f>
        <v>0</v>
      </c>
      <c r="G78" s="171"/>
      <c r="H78" s="235">
        <f t="shared" si="25"/>
        <v>4350396.8036400005</v>
      </c>
      <c r="I78" s="235">
        <f t="shared" si="26"/>
        <v>4112236.5993499998</v>
      </c>
      <c r="J78" s="23">
        <f t="shared" si="27"/>
        <v>-5.5</v>
      </c>
    </row>
    <row r="79" spans="1:10" ht="15.75" customHeight="1" x14ac:dyDescent="0.2">
      <c r="A79" s="21" t="s">
        <v>10</v>
      </c>
      <c r="B79" s="44">
        <f>'Danica Pensjonsforsikring'!B79+'DNB Livsforsikring'!B79+'Eika Forsikring AS'!B79+'Frende Livsforsikring'!B79+'Frende Skadeforsikring'!B79+'Gjensidige Forsikring'!B79+'Gjensidige Pensjon'!B79+'Handelsbanken Liv'!B79+'If Skadeforsikring NUF'!B79+KLP!B79+'KLP Bedriftspensjon AS'!B79+'KLP Skadeforsikring AS'!B79+'Landbruksforsikring AS'!B79+'NEMI Forsikring'!B79+'Nordea Liv '!B79+'Oslo Pensjonsforsikring'!B79+'Protector Forsikring'!B79+'SHB Liv'!B79+'Sparebank 1'!B79+'Storebrand Livsforsikring'!B79+'Telenor Forsikring'!B79+'Tryg Forsikring'!B79</f>
        <v>110486.24637000001</v>
      </c>
      <c r="C79" s="44">
        <f>'Danica Pensjonsforsikring'!C79+'DNB Livsforsikring'!C79+'Eika Forsikring AS'!C79+'Frende Livsforsikring'!C79+'Frende Skadeforsikring'!C79+'Gjensidige Forsikring'!C79+'Gjensidige Pensjon'!C79+'Handelsbanken Liv'!C79+'If Skadeforsikring NUF'!C79+KLP!C79+'KLP Bedriftspensjon AS'!C79+'KLP Skadeforsikring AS'!C79+'Landbruksforsikring AS'!C79+'NEMI Forsikring'!C79+'Nordea Liv '!C79+'Oslo Pensjonsforsikring'!C79+'Protector Forsikring'!C79+'SHB Liv'!C79+'Sparebank 1'!C79+'Storebrand Livsforsikring'!C79+'Telenor Forsikring'!C79+'Tryg Forsikring'!C79</f>
        <v>111377.11747</v>
      </c>
      <c r="D79" s="23">
        <f t="shared" si="23"/>
        <v>0.8</v>
      </c>
      <c r="E79" s="44">
        <f>'Danica Pensjonsforsikring'!F79+'DNB Livsforsikring'!F79+'Eika Forsikring AS'!F79+'Frende Livsforsikring'!F79+'Frende Skadeforsikring'!F79+'Gjensidige Forsikring'!F79+'Gjensidige Pensjon'!F79+'Handelsbanken Liv'!F79+'If Skadeforsikring NUF'!F79+KLP!F79+'KLP Bedriftspensjon AS'!F79+'KLP Skadeforsikring AS'!F79+'Landbruksforsikring AS'!F79+'NEMI Forsikring'!F79+'Nordea Liv '!F79+'Oslo Pensjonsforsikring'!F79+'Protector Forsikring'!F79+'SHB Liv'!F79+'Sparebank 1'!F79+'Storebrand Livsforsikring'!F79+'Telenor Forsikring'!F79+'Tryg Forsikring'!F79</f>
        <v>13973311.465700001</v>
      </c>
      <c r="F79" s="44">
        <f>'Danica Pensjonsforsikring'!G79+'DNB Livsforsikring'!G79+'Eika Forsikring AS'!G79+'Frende Livsforsikring'!G79+'Frende Skadeforsikring'!G79+'Gjensidige Forsikring'!G79+'Gjensidige Pensjon'!G79+'Handelsbanken Liv'!G79+'If Skadeforsikring NUF'!G79+KLP!G79+'KLP Bedriftspensjon AS'!G79+'KLP Skadeforsikring AS'!G79+'Landbruksforsikring AS'!G79+'NEMI Forsikring'!G79+'Nordea Liv '!G79+'Oslo Pensjonsforsikring'!G79+'Protector Forsikring'!G79+'SHB Liv'!G79+'Sparebank 1'!G79+'Storebrand Livsforsikring'!G79+'Telenor Forsikring'!G79+'Tryg Forsikring'!G79</f>
        <v>15508453.745019998</v>
      </c>
      <c r="G79" s="171">
        <f t="shared" si="24"/>
        <v>11</v>
      </c>
      <c r="H79" s="235">
        <f t="shared" si="25"/>
        <v>14083797.712070001</v>
      </c>
      <c r="I79" s="235">
        <f t="shared" si="26"/>
        <v>15619830.862489998</v>
      </c>
      <c r="J79" s="23">
        <f t="shared" si="27"/>
        <v>10.9</v>
      </c>
    </row>
    <row r="80" spans="1:10" ht="15.75" customHeight="1" x14ac:dyDescent="0.2">
      <c r="A80" s="294" t="s">
        <v>386</v>
      </c>
      <c r="B80" s="44"/>
      <c r="C80" s="44"/>
      <c r="D80" s="27"/>
      <c r="E80" s="44"/>
      <c r="F80" s="44"/>
      <c r="G80" s="171"/>
      <c r="H80" s="235"/>
      <c r="I80" s="235"/>
      <c r="J80" s="23"/>
    </row>
    <row r="81" spans="1:12" ht="15.75" customHeight="1" x14ac:dyDescent="0.2">
      <c r="A81" s="294" t="s">
        <v>12</v>
      </c>
      <c r="B81" s="233"/>
      <c r="C81" s="233"/>
      <c r="D81" s="27"/>
      <c r="E81" s="44"/>
      <c r="F81" s="44"/>
      <c r="G81" s="171"/>
      <c r="H81" s="235"/>
      <c r="I81" s="235"/>
      <c r="J81" s="23"/>
    </row>
    <row r="82" spans="1:12" ht="15.75" customHeight="1" x14ac:dyDescent="0.2">
      <c r="A82" s="294" t="s">
        <v>13</v>
      </c>
      <c r="B82" s="233"/>
      <c r="C82" s="233"/>
      <c r="D82" s="27"/>
      <c r="E82" s="44"/>
      <c r="F82" s="44"/>
      <c r="G82" s="171"/>
      <c r="H82" s="235"/>
      <c r="I82" s="235"/>
      <c r="J82" s="23"/>
    </row>
    <row r="83" spans="1:12" ht="15.75" customHeight="1" x14ac:dyDescent="0.2">
      <c r="A83" s="294" t="s">
        <v>387</v>
      </c>
      <c r="B83" s="44"/>
      <c r="C83" s="44"/>
      <c r="D83" s="27"/>
      <c r="E83" s="44"/>
      <c r="F83" s="44"/>
      <c r="G83" s="171"/>
      <c r="H83" s="235"/>
      <c r="I83" s="235"/>
      <c r="J83" s="24"/>
    </row>
    <row r="84" spans="1:12" ht="15.75" customHeight="1" x14ac:dyDescent="0.2">
      <c r="A84" s="294" t="s">
        <v>12</v>
      </c>
      <c r="B84" s="233"/>
      <c r="C84" s="233"/>
      <c r="D84" s="27"/>
      <c r="E84" s="44"/>
      <c r="F84" s="44"/>
      <c r="G84" s="171"/>
      <c r="H84" s="235"/>
      <c r="I84" s="235"/>
      <c r="J84" s="23"/>
    </row>
    <row r="85" spans="1:12" ht="15.75" customHeight="1" x14ac:dyDescent="0.2">
      <c r="A85" s="294" t="s">
        <v>13</v>
      </c>
      <c r="B85" s="233"/>
      <c r="C85" s="233"/>
      <c r="D85" s="27"/>
      <c r="E85" s="44"/>
      <c r="F85" s="44"/>
      <c r="G85" s="171"/>
      <c r="H85" s="235"/>
      <c r="I85" s="235"/>
      <c r="J85" s="23"/>
    </row>
    <row r="86" spans="1:12" ht="15.75" customHeight="1" x14ac:dyDescent="0.2">
      <c r="A86" s="21" t="s">
        <v>389</v>
      </c>
      <c r="B86" s="232">
        <f>'Danica Pensjonsforsikring'!B86+'DNB Livsforsikring'!B86+'Eika Forsikring AS'!B86+'Frende Livsforsikring'!B86+'Frende Skadeforsikring'!B86+'Gjensidige Forsikring'!B86+'Gjensidige Pensjon'!B86+'Handelsbanken Liv'!B86+'If Skadeforsikring NUF'!B86+KLP!B86+'KLP Bedriftspensjon AS'!B86+'KLP Skadeforsikring AS'!B86+'Landbruksforsikring AS'!B86+'NEMI Forsikring'!B86+'Nordea Liv '!B86+'Oslo Pensjonsforsikring'!B86+'Protector Forsikring'!B86+'SHB Liv'!B86+'Sparebank 1'!B86+'Storebrand Livsforsikring'!B86+'Telenor Forsikring'!B86+'Tryg Forsikring'!B86</f>
        <v>145051.47099999999</v>
      </c>
      <c r="C86" s="232">
        <f>'Danica Pensjonsforsikring'!C86+'DNB Livsforsikring'!C86+'Eika Forsikring AS'!C86+'Frende Livsforsikring'!C86+'Frende Skadeforsikring'!C86+'Gjensidige Forsikring'!C86+'Gjensidige Pensjon'!C86+'Handelsbanken Liv'!C86+'If Skadeforsikring NUF'!C86+KLP!C86+'KLP Bedriftspensjon AS'!C86+'KLP Skadeforsikring AS'!C86+'Landbruksforsikring AS'!C86+'NEMI Forsikring'!C86+'Nordea Liv '!C86+'Oslo Pensjonsforsikring'!C86+'Protector Forsikring'!C86+'SHB Liv'!C86+'Sparebank 1'!C86+'Storebrand Livsforsikring'!C86+'Telenor Forsikring'!C86+'Tryg Forsikring'!C86</f>
        <v>63864.345000000001</v>
      </c>
      <c r="D86" s="23">
        <f t="shared" si="23"/>
        <v>-56</v>
      </c>
      <c r="E86" s="44">
        <f>'Danica Pensjonsforsikring'!F86+'DNB Livsforsikring'!F86+'Eika Forsikring AS'!F86+'Frende Livsforsikring'!F86+'Frende Skadeforsikring'!F86+'Gjensidige Forsikring'!F86+'Gjensidige Pensjon'!F86+'Handelsbanken Liv'!F86+'If Skadeforsikring NUF'!F86+KLP!F86+'KLP Bedriftspensjon AS'!F86+'KLP Skadeforsikring AS'!F86+'Landbruksforsikring AS'!F86+'NEMI Forsikring'!F86+'Nordea Liv '!F86+'Oslo Pensjonsforsikring'!F86+'Protector Forsikring'!F86+'SHB Liv'!F86+'Sparebank 1'!F86+'Storebrand Livsforsikring'!F86+'Telenor Forsikring'!F86+'Tryg Forsikring'!F86</f>
        <v>6767.8088299999999</v>
      </c>
      <c r="F86" s="44">
        <f>'Danica Pensjonsforsikring'!G86+'DNB Livsforsikring'!G86+'Eika Forsikring AS'!G86+'Frende Livsforsikring'!G86+'Frende Skadeforsikring'!G86+'Gjensidige Forsikring'!G86+'Gjensidige Pensjon'!G86+'Handelsbanken Liv'!G86+'If Skadeforsikring NUF'!G86+KLP!G86+'KLP Bedriftspensjon AS'!G86+'KLP Skadeforsikring AS'!G86+'Landbruksforsikring AS'!G86+'NEMI Forsikring'!G86+'Nordea Liv '!G86+'Oslo Pensjonsforsikring'!G86+'Protector Forsikring'!G86+'SHB Liv'!G86+'Sparebank 1'!G86+'Storebrand Livsforsikring'!G86+'Telenor Forsikring'!G86+'Tryg Forsikring'!G86</f>
        <v>6731.6699600000002</v>
      </c>
      <c r="G86" s="171">
        <f t="shared" si="24"/>
        <v>-0.5</v>
      </c>
      <c r="H86" s="235">
        <f t="shared" si="25"/>
        <v>151819.27982999998</v>
      </c>
      <c r="I86" s="235">
        <f t="shared" si="26"/>
        <v>70596.01496</v>
      </c>
      <c r="J86" s="23">
        <f t="shared" si="27"/>
        <v>-53.5</v>
      </c>
    </row>
    <row r="87" spans="1:12" s="43" customFormat="1" ht="15.75" customHeight="1" x14ac:dyDescent="0.2">
      <c r="A87" s="13" t="s">
        <v>371</v>
      </c>
      <c r="B87" s="306">
        <f>'Danica Pensjonsforsikring'!B87+'DNB Livsforsikring'!B87+'Eika Forsikring AS'!B87+'Frende Livsforsikring'!B87+'Frende Skadeforsikring'!B87+'Gjensidige Forsikring'!B87+'Gjensidige Pensjon'!B87+'Handelsbanken Liv'!B87+'If Skadeforsikring NUF'!B87+KLP!B87+'KLP Bedriftspensjon AS'!B87+'KLP Skadeforsikring AS'!B87+'Landbruksforsikring AS'!B87+'NEMI Forsikring'!B87+'Nordea Liv '!B87+'Oslo Pensjonsforsikring'!B87+'Protector Forsikring'!B87+'SHB Liv'!B87+'Sparebank 1'!B87+'Storebrand Livsforsikring'!B87+'Telenor Forsikring'!B87+'Tryg Forsikring'!B87</f>
        <v>385014090.96905792</v>
      </c>
      <c r="C87" s="306">
        <f>'Danica Pensjonsforsikring'!C87+'DNB Livsforsikring'!C87+'Eika Forsikring AS'!C87+'Frende Livsforsikring'!C87+'Frende Skadeforsikring'!C87+'Gjensidige Forsikring'!C87+'Gjensidige Pensjon'!C87+'Handelsbanken Liv'!C87+'If Skadeforsikring NUF'!C87+KLP!C87+'KLP Bedriftspensjon AS'!C87+'KLP Skadeforsikring AS'!C87+'Landbruksforsikring AS'!C87+'NEMI Forsikring'!C87+'Nordea Liv '!C87+'Oslo Pensjonsforsikring'!C87+'Protector Forsikring'!C87+'SHB Liv'!C87+'Sparebank 1'!C87+'Storebrand Livsforsikring'!C87+'Telenor Forsikring'!C87+'Tryg Forsikring'!C87</f>
        <v>389885695.19011629</v>
      </c>
      <c r="D87" s="24">
        <f t="shared" si="23"/>
        <v>1.3</v>
      </c>
      <c r="E87" s="234">
        <f>'Danica Pensjonsforsikring'!F87+'DNB Livsforsikring'!F87+'Eika Forsikring AS'!F87+'Frende Livsforsikring'!F87+'Frende Skadeforsikring'!F87+'Gjensidige Forsikring'!F87+'Gjensidige Pensjon'!F87+'Handelsbanken Liv'!F87+'If Skadeforsikring NUF'!F87+KLP!F87+'KLP Bedriftspensjon AS'!F87+'KLP Skadeforsikring AS'!F87+'Landbruksforsikring AS'!F87+'NEMI Forsikring'!F87+'Nordea Liv '!F87+'Oslo Pensjonsforsikring'!F87+'Protector Forsikring'!F87+'SHB Liv'!F87+'Sparebank 1'!F87+'Storebrand Livsforsikring'!F87+'Telenor Forsikring'!F87+'Tryg Forsikring'!F87</f>
        <v>246587116.6186713</v>
      </c>
      <c r="F87" s="234">
        <f>'Danica Pensjonsforsikring'!G87+'DNB Livsforsikring'!G87+'Eika Forsikring AS'!G87+'Frende Livsforsikring'!G87+'Frende Skadeforsikring'!G87+'Gjensidige Forsikring'!G87+'Gjensidige Pensjon'!G87+'Handelsbanken Liv'!G87+'If Skadeforsikring NUF'!G87+KLP!G87+'KLP Bedriftspensjon AS'!G87+'KLP Skadeforsikring AS'!G87+'Landbruksforsikring AS'!G87+'NEMI Forsikring'!G87+'Nordea Liv '!G87+'Oslo Pensjonsforsikring'!G87+'Protector Forsikring'!G87+'SHB Liv'!G87+'Sparebank 1'!G87+'Storebrand Livsforsikring'!G87+'Telenor Forsikring'!G87+'Tryg Forsikring'!G87</f>
        <v>283834336.74636626</v>
      </c>
      <c r="G87" s="171">
        <f t="shared" si="24"/>
        <v>15.1</v>
      </c>
      <c r="H87" s="326">
        <f t="shared" ref="H87:H111" si="32">SUM(B87,E87)</f>
        <v>631601207.58772922</v>
      </c>
      <c r="I87" s="326">
        <f t="shared" ref="I87:I111" si="33">SUM(C87,F87)</f>
        <v>673720031.93648255</v>
      </c>
      <c r="J87" s="24">
        <f t="shared" si="27"/>
        <v>6.7</v>
      </c>
    </row>
    <row r="88" spans="1:12" ht="15.75" customHeight="1" x14ac:dyDescent="0.2">
      <c r="A88" s="21" t="s">
        <v>9</v>
      </c>
      <c r="B88" s="232">
        <f>'Danica Pensjonsforsikring'!B88+'DNB Livsforsikring'!B88+'Eika Forsikring AS'!B88+'Frende Livsforsikring'!B88+'Frende Skadeforsikring'!B88+'Gjensidige Forsikring'!B88+'Gjensidige Pensjon'!B88+'Handelsbanken Liv'!B88+'If Skadeforsikring NUF'!B88+KLP!B88+'KLP Bedriftspensjon AS'!B88+'KLP Skadeforsikring AS'!B88+'Landbruksforsikring AS'!B88+'NEMI Forsikring'!B88+'Nordea Liv '!B88+'Oslo Pensjonsforsikring'!B88+'Protector Forsikring'!B88+'SHB Liv'!B88+'Sparebank 1'!B88+'Storebrand Livsforsikring'!B88+'Telenor Forsikring'!B88+'Tryg Forsikring'!B88</f>
        <v>376724025.4984796</v>
      </c>
      <c r="C88" s="232">
        <f>'Danica Pensjonsforsikring'!C88+'DNB Livsforsikring'!C88+'Eika Forsikring AS'!C88+'Frende Livsforsikring'!C88+'Frende Skadeforsikring'!C88+'Gjensidige Forsikring'!C88+'Gjensidige Pensjon'!C88+'Handelsbanken Liv'!C88+'If Skadeforsikring NUF'!C88+KLP!C88+'KLP Bedriftspensjon AS'!C88+'KLP Skadeforsikring AS'!C88+'Landbruksforsikring AS'!C88+'NEMI Forsikring'!C88+'Nordea Liv '!C88+'Oslo Pensjonsforsikring'!C88+'Protector Forsikring'!C88+'SHB Liv'!C88+'Sparebank 1'!C88+'Storebrand Livsforsikring'!C88+'Telenor Forsikring'!C88+'Tryg Forsikring'!C88</f>
        <v>380796665.74501562</v>
      </c>
      <c r="D88" s="23">
        <f t="shared" si="23"/>
        <v>1.1000000000000001</v>
      </c>
      <c r="E88" s="44">
        <f>'Danica Pensjonsforsikring'!F88+'DNB Livsforsikring'!F88+'Eika Forsikring AS'!F88+'Frende Livsforsikring'!F88+'Frende Skadeforsikring'!F88+'Gjensidige Forsikring'!F88+'Gjensidige Pensjon'!F88+'Handelsbanken Liv'!F88+'If Skadeforsikring NUF'!F88+KLP!F88+'KLP Bedriftspensjon AS'!F88+'KLP Skadeforsikring AS'!F88+'Landbruksforsikring AS'!F88+'NEMI Forsikring'!F88+'Nordea Liv '!F88+'Oslo Pensjonsforsikring'!F88+'Protector Forsikring'!F88+'SHB Liv'!F88+'Sparebank 1'!F88+'Storebrand Livsforsikring'!F88+'Telenor Forsikring'!F88+'Tryg Forsikring'!F88</f>
        <v>0</v>
      </c>
      <c r="F88" s="44">
        <f>'Danica Pensjonsforsikring'!G88+'DNB Livsforsikring'!G88+'Eika Forsikring AS'!G88+'Frende Livsforsikring'!G88+'Frende Skadeforsikring'!G88+'Gjensidige Forsikring'!G88+'Gjensidige Pensjon'!G88+'Handelsbanken Liv'!G88+'If Skadeforsikring NUF'!G88+KLP!G88+'KLP Bedriftspensjon AS'!G88+'KLP Skadeforsikring AS'!G88+'Landbruksforsikring AS'!G88+'NEMI Forsikring'!G88+'Nordea Liv '!G88+'Oslo Pensjonsforsikring'!G88+'Protector Forsikring'!G88+'SHB Liv'!G88+'Sparebank 1'!G88+'Storebrand Livsforsikring'!G88+'Telenor Forsikring'!G88+'Tryg Forsikring'!G88</f>
        <v>0</v>
      </c>
      <c r="G88" s="171"/>
      <c r="H88" s="235">
        <f t="shared" si="32"/>
        <v>376724025.4984796</v>
      </c>
      <c r="I88" s="235">
        <f t="shared" si="33"/>
        <v>380796665.74501562</v>
      </c>
      <c r="J88" s="23">
        <f t="shared" si="27"/>
        <v>1.1000000000000001</v>
      </c>
    </row>
    <row r="89" spans="1:12" ht="15.75" customHeight="1" x14ac:dyDescent="0.2">
      <c r="A89" s="21" t="s">
        <v>10</v>
      </c>
      <c r="B89" s="232">
        <f>'Danica Pensjonsforsikring'!B89+'DNB Livsforsikring'!B89+'Eika Forsikring AS'!B89+'Frende Livsforsikring'!B89+'Frende Skadeforsikring'!B89+'Gjensidige Forsikring'!B89+'Gjensidige Pensjon'!B89+'Handelsbanken Liv'!B89+'If Skadeforsikring NUF'!B89+KLP!B89+'KLP Bedriftspensjon AS'!B89+'KLP Skadeforsikring AS'!B89+'Landbruksforsikring AS'!B89+'NEMI Forsikring'!B89+'Nordea Liv '!B89+'Oslo Pensjonsforsikring'!B89+'Protector Forsikring'!B89+'SHB Liv'!B89+'Sparebank 1'!B89+'Storebrand Livsforsikring'!B89+'Telenor Forsikring'!B89+'Tryg Forsikring'!B89</f>
        <v>2673617.6564883101</v>
      </c>
      <c r="C89" s="232">
        <f>'Danica Pensjonsforsikring'!C89+'DNB Livsforsikring'!C89+'Eika Forsikring AS'!C89+'Frende Livsforsikring'!C89+'Frende Skadeforsikring'!C89+'Gjensidige Forsikring'!C89+'Gjensidige Pensjon'!C89+'Handelsbanken Liv'!C89+'If Skadeforsikring NUF'!C89+KLP!C89+'KLP Bedriftspensjon AS'!C89+'KLP Skadeforsikring AS'!C89+'Landbruksforsikring AS'!C89+'NEMI Forsikring'!C89+'Nordea Liv '!C89+'Oslo Pensjonsforsikring'!C89+'Protector Forsikring'!C89+'SHB Liv'!C89+'Sparebank 1'!C89+'Storebrand Livsforsikring'!C89+'Telenor Forsikring'!C89+'Tryg Forsikring'!C89</f>
        <v>2922228.1409006999</v>
      </c>
      <c r="D89" s="23">
        <f t="shared" si="23"/>
        <v>9.3000000000000007</v>
      </c>
      <c r="E89" s="44">
        <f>'Danica Pensjonsforsikring'!F89+'DNB Livsforsikring'!F89+'Eika Forsikring AS'!F89+'Frende Livsforsikring'!F89+'Frende Skadeforsikring'!F89+'Gjensidige Forsikring'!F89+'Gjensidige Pensjon'!F89+'Handelsbanken Liv'!F89+'If Skadeforsikring NUF'!F89+KLP!F89+'KLP Bedriftspensjon AS'!F89+'KLP Skadeforsikring AS'!F89+'Landbruksforsikring AS'!F89+'NEMI Forsikring'!F89+'Nordea Liv '!F89+'Oslo Pensjonsforsikring'!F89+'Protector Forsikring'!F89+'SHB Liv'!F89+'Sparebank 1'!F89+'Storebrand Livsforsikring'!F89+'Telenor Forsikring'!F89+'Tryg Forsikring'!F89</f>
        <v>245670099.50194129</v>
      </c>
      <c r="F89" s="44">
        <f>'Danica Pensjonsforsikring'!G89+'DNB Livsforsikring'!G89+'Eika Forsikring AS'!G89+'Frende Livsforsikring'!G89+'Frende Skadeforsikring'!G89+'Gjensidige Forsikring'!G89+'Gjensidige Pensjon'!G89+'Handelsbanken Liv'!G89+'If Skadeforsikring NUF'!G89+KLP!G89+'KLP Bedriftspensjon AS'!G89+'KLP Skadeforsikring AS'!G89+'Landbruksforsikring AS'!G89+'NEMI Forsikring'!G89+'Nordea Liv '!G89+'Oslo Pensjonsforsikring'!G89+'Protector Forsikring'!G89+'SHB Liv'!G89+'Sparebank 1'!G89+'Storebrand Livsforsikring'!G89+'Telenor Forsikring'!G89+'Tryg Forsikring'!G89</f>
        <v>282533539.23976624</v>
      </c>
      <c r="G89" s="171">
        <f t="shared" si="24"/>
        <v>15</v>
      </c>
      <c r="H89" s="235">
        <f t="shared" si="32"/>
        <v>248343717.15842959</v>
      </c>
      <c r="I89" s="235">
        <f t="shared" si="33"/>
        <v>285455767.38066691</v>
      </c>
      <c r="J89" s="23">
        <f t="shared" si="27"/>
        <v>14.9</v>
      </c>
      <c r="L89" s="149"/>
    </row>
    <row r="90" spans="1:12" ht="15.75" customHeight="1" x14ac:dyDescent="0.2">
      <c r="A90" s="294" t="s">
        <v>386</v>
      </c>
      <c r="B90" s="44"/>
      <c r="C90" s="44"/>
      <c r="D90" s="27"/>
      <c r="E90" s="44"/>
      <c r="F90" s="44"/>
      <c r="G90" s="171"/>
      <c r="H90" s="235"/>
      <c r="I90" s="235"/>
      <c r="J90" s="23"/>
    </row>
    <row r="91" spans="1:12" ht="15.75" customHeight="1" x14ac:dyDescent="0.2">
      <c r="A91" s="294" t="s">
        <v>12</v>
      </c>
      <c r="B91" s="233"/>
      <c r="C91" s="233"/>
      <c r="D91" s="27"/>
      <c r="E91" s="44"/>
      <c r="F91" s="44"/>
      <c r="G91" s="171"/>
      <c r="H91" s="235"/>
      <c r="I91" s="235"/>
      <c r="J91" s="23"/>
    </row>
    <row r="92" spans="1:12" ht="15.75" customHeight="1" x14ac:dyDescent="0.2">
      <c r="A92" s="294" t="s">
        <v>13</v>
      </c>
      <c r="B92" s="233"/>
      <c r="C92" s="233"/>
      <c r="D92" s="27"/>
      <c r="E92" s="44"/>
      <c r="F92" s="44"/>
      <c r="G92" s="171"/>
      <c r="H92" s="235"/>
      <c r="I92" s="235"/>
      <c r="J92" s="23"/>
    </row>
    <row r="93" spans="1:12" ht="15.75" customHeight="1" x14ac:dyDescent="0.2">
      <c r="A93" s="294" t="s">
        <v>387</v>
      </c>
      <c r="B93" s="44"/>
      <c r="C93" s="44"/>
      <c r="D93" s="27"/>
      <c r="E93" s="44"/>
      <c r="F93" s="44"/>
      <c r="G93" s="171"/>
      <c r="H93" s="235"/>
      <c r="I93" s="235"/>
      <c r="J93" s="23"/>
    </row>
    <row r="94" spans="1:12" ht="15.75" customHeight="1" x14ac:dyDescent="0.2">
      <c r="A94" s="294" t="s">
        <v>12</v>
      </c>
      <c r="B94" s="233"/>
      <c r="C94" s="233"/>
      <c r="D94" s="27"/>
      <c r="E94" s="44"/>
      <c r="F94" s="44"/>
      <c r="G94" s="171"/>
      <c r="H94" s="235"/>
      <c r="I94" s="235"/>
      <c r="J94" s="23"/>
    </row>
    <row r="95" spans="1:12" ht="15.75" customHeight="1" x14ac:dyDescent="0.2">
      <c r="A95" s="294" t="s">
        <v>13</v>
      </c>
      <c r="B95" s="233"/>
      <c r="C95" s="233"/>
      <c r="D95" s="27"/>
      <c r="E95" s="44"/>
      <c r="F95" s="44"/>
      <c r="G95" s="171"/>
      <c r="H95" s="235"/>
      <c r="I95" s="235"/>
      <c r="J95" s="23"/>
    </row>
    <row r="96" spans="1:12" ht="15.75" customHeight="1" x14ac:dyDescent="0.2">
      <c r="A96" s="21" t="s">
        <v>356</v>
      </c>
      <c r="B96" s="232">
        <f>'Danica Pensjonsforsikring'!B96+'DNB Livsforsikring'!B96+'Eika Forsikring AS'!B96+'Frende Livsforsikring'!B96+'Frende Skadeforsikring'!B96+'Gjensidige Forsikring'!B96+'Gjensidige Pensjon'!B96+'Handelsbanken Liv'!B96+'If Skadeforsikring NUF'!B96+KLP!B96+'KLP Bedriftspensjon AS'!B96+'KLP Skadeforsikring AS'!B96+'Landbruksforsikring AS'!B96+'NEMI Forsikring'!B96+'Nordea Liv '!B96+'Oslo Pensjonsforsikring'!B96+'Protector Forsikring'!B96+'SHB Liv'!B96+'Sparebank 1'!B96+'Storebrand Livsforsikring'!B96+'Telenor Forsikring'!B96+'Tryg Forsikring'!B96</f>
        <v>687453.30648999999</v>
      </c>
      <c r="C96" s="232">
        <f>'Danica Pensjonsforsikring'!C96+'DNB Livsforsikring'!C96+'Eika Forsikring AS'!C96+'Frende Livsforsikring'!C96+'Frende Skadeforsikring'!C96+'Gjensidige Forsikring'!C96+'Gjensidige Pensjon'!C96+'Handelsbanken Liv'!C96+'If Skadeforsikring NUF'!C96+KLP!C96+'KLP Bedriftspensjon AS'!C96+'KLP Skadeforsikring AS'!C96+'Landbruksforsikring AS'!C96+'NEMI Forsikring'!C96+'Nordea Liv '!C96+'Oslo Pensjonsforsikring'!C96+'Protector Forsikring'!C96+'SHB Liv'!C96+'Sparebank 1'!C96+'Storebrand Livsforsikring'!C96+'Telenor Forsikring'!C96+'Tryg Forsikring'!C96</f>
        <v>1120597.0015499999</v>
      </c>
      <c r="D96" s="23">
        <f t="shared" si="23"/>
        <v>63</v>
      </c>
      <c r="E96" s="44">
        <f>'Danica Pensjonsforsikring'!F96+'DNB Livsforsikring'!F96+'Eika Forsikring AS'!F96+'Frende Livsforsikring'!F96+'Frende Skadeforsikring'!F96+'Gjensidige Forsikring'!F96+'Gjensidige Pensjon'!F96+'Handelsbanken Liv'!F96+'If Skadeforsikring NUF'!F96+KLP!F96+'KLP Bedriftspensjon AS'!F96+'KLP Skadeforsikring AS'!F96+'Landbruksforsikring AS'!F96+'NEMI Forsikring'!F96+'Nordea Liv '!F96+'Oslo Pensjonsforsikring'!F96+'Protector Forsikring'!F96+'SHB Liv'!F96+'Sparebank 1'!F96+'Storebrand Livsforsikring'!F96+'Telenor Forsikring'!F96+'Tryg Forsikring'!F96</f>
        <v>917017.11673000001</v>
      </c>
      <c r="F96" s="44">
        <f>'Danica Pensjonsforsikring'!G96+'DNB Livsforsikring'!G96+'Eika Forsikring AS'!G96+'Frende Livsforsikring'!G96+'Frende Skadeforsikring'!G96+'Gjensidige Forsikring'!G96+'Gjensidige Pensjon'!G96+'Handelsbanken Liv'!G96+'If Skadeforsikring NUF'!G96+KLP!G96+'KLP Bedriftspensjon AS'!G96+'KLP Skadeforsikring AS'!G96+'Landbruksforsikring AS'!G96+'NEMI Forsikring'!G96+'Nordea Liv '!G96+'Oslo Pensjonsforsikring'!G96+'Protector Forsikring'!G96+'SHB Liv'!G96+'Sparebank 1'!G96+'Storebrand Livsforsikring'!G96+'Telenor Forsikring'!G96+'Tryg Forsikring'!G96</f>
        <v>1300797.5066</v>
      </c>
      <c r="G96" s="171">
        <f t="shared" si="24"/>
        <v>41.9</v>
      </c>
      <c r="H96" s="235">
        <f t="shared" si="32"/>
        <v>1604470.42322</v>
      </c>
      <c r="I96" s="235">
        <f t="shared" si="33"/>
        <v>2421394.5081500001</v>
      </c>
      <c r="J96" s="23">
        <f t="shared" si="27"/>
        <v>50.9</v>
      </c>
    </row>
    <row r="97" spans="1:10" ht="15.75" customHeight="1" x14ac:dyDescent="0.2">
      <c r="A97" s="21" t="s">
        <v>355</v>
      </c>
      <c r="B97" s="232">
        <f>'Danica Pensjonsforsikring'!B97+'DNB Livsforsikring'!B97+'Eika Forsikring AS'!B97+'Frende Livsforsikring'!B97+'Frende Skadeforsikring'!B97+'Gjensidige Forsikring'!B97+'Gjensidige Pensjon'!B97+'Handelsbanken Liv'!B97+'If Skadeforsikring NUF'!B97+KLP!B97+'KLP Bedriftspensjon AS'!B97+'KLP Skadeforsikring AS'!B97+'Landbruksforsikring AS'!B97+'NEMI Forsikring'!B97+'Nordea Liv '!B97+'Oslo Pensjonsforsikring'!B97+'Protector Forsikring'!B97+'SHB Liv'!B97+'Sparebank 1'!B97+'Storebrand Livsforsikring'!B97+'Telenor Forsikring'!B97+'Tryg Forsikring'!B97</f>
        <v>4928994.5076000001</v>
      </c>
      <c r="C97" s="232">
        <f>'Danica Pensjonsforsikring'!C97+'DNB Livsforsikring'!C97+'Eika Forsikring AS'!C97+'Frende Livsforsikring'!C97+'Frende Skadeforsikring'!C97+'Gjensidige Forsikring'!C97+'Gjensidige Pensjon'!C97+'Handelsbanken Liv'!C97+'If Skadeforsikring NUF'!C97+KLP!C97+'KLP Bedriftspensjon AS'!C97+'KLP Skadeforsikring AS'!C97+'Landbruksforsikring AS'!C97+'NEMI Forsikring'!C97+'Nordea Liv '!C97+'Oslo Pensjonsforsikring'!C97+'Protector Forsikring'!C97+'SHB Liv'!C97+'Sparebank 1'!C97+'Storebrand Livsforsikring'!C97+'Telenor Forsikring'!C97+'Tryg Forsikring'!C97</f>
        <v>5046204.30265</v>
      </c>
      <c r="D97" s="23">
        <f t="shared" ref="D97" si="34">IF(B97=0, "    ---- ", IF(ABS(ROUND(100/B97*C97-100,1))&lt;999,ROUND(100/B97*C97-100,1),IF(ROUND(100/B97*C97-100,1)&gt;999,999,-999)))</f>
        <v>2.4</v>
      </c>
      <c r="E97" s="44">
        <f>'Danica Pensjonsforsikring'!F97+'DNB Livsforsikring'!F97+'Eika Forsikring AS'!F97+'Frende Livsforsikring'!F97+'Frende Skadeforsikring'!F97+'Gjensidige Forsikring'!F97+'Gjensidige Pensjon'!F97+'Handelsbanken Liv'!F97+'If Skadeforsikring NUF'!F97+KLP!F97+'KLP Bedriftspensjon AS'!F97+'KLP Skadeforsikring AS'!F97+'Landbruksforsikring AS'!F97+'NEMI Forsikring'!F97+'Nordea Liv '!F97+'Oslo Pensjonsforsikring'!F97+'Protector Forsikring'!F97+'SHB Liv'!F97+'Sparebank 1'!F97+'Storebrand Livsforsikring'!F97+'Telenor Forsikring'!F97+'Tryg Forsikring'!F97</f>
        <v>0</v>
      </c>
      <c r="F97" s="44">
        <f>'Danica Pensjonsforsikring'!G97+'DNB Livsforsikring'!G97+'Eika Forsikring AS'!G97+'Frende Livsforsikring'!G97+'Frende Skadeforsikring'!G97+'Gjensidige Forsikring'!G97+'Gjensidige Pensjon'!G97+'Handelsbanken Liv'!G97+'If Skadeforsikring NUF'!G97+KLP!G97+'KLP Bedriftspensjon AS'!G97+'KLP Skadeforsikring AS'!G97+'Landbruksforsikring AS'!G97+'NEMI Forsikring'!G97+'Nordea Liv '!G97+'Oslo Pensjonsforsikring'!G97+'Protector Forsikring'!G97+'SHB Liv'!G97+'Sparebank 1'!G97+'Storebrand Livsforsikring'!G97+'Telenor Forsikring'!G97+'Tryg Forsikring'!G97</f>
        <v>0</v>
      </c>
      <c r="G97" s="171"/>
      <c r="H97" s="235">
        <f t="shared" ref="H97" si="35">SUM(B97,E97)</f>
        <v>4928994.5076000001</v>
      </c>
      <c r="I97" s="235">
        <f t="shared" ref="I97" si="36">SUM(C97,F97)</f>
        <v>5046204.30265</v>
      </c>
      <c r="J97" s="23">
        <f t="shared" ref="J97" si="37">IF(H97=0, "    ---- ", IF(ABS(ROUND(100/H97*I97-100,1))&lt;999,ROUND(100/H97*I97-100,1),IF(ROUND(100/H97*I97-100,1)&gt;999,999,-999)))</f>
        <v>2.4</v>
      </c>
    </row>
    <row r="98" spans="1:10" ht="15.75" customHeight="1" x14ac:dyDescent="0.2">
      <c r="A98" s="21" t="s">
        <v>388</v>
      </c>
      <c r="B98" s="232">
        <f>'Danica Pensjonsforsikring'!B98+'DNB Livsforsikring'!B98+'Eika Forsikring AS'!B98+'Frende Livsforsikring'!B98+'Frende Skadeforsikring'!B98+'Gjensidige Forsikring'!B98+'Gjensidige Pensjon'!B98+'Handelsbanken Liv'!B98+'If Skadeforsikring NUF'!B98+KLP!B98+'KLP Bedriftspensjon AS'!B98+'KLP Skadeforsikring AS'!B98+'Landbruksforsikring AS'!B98+'NEMI Forsikring'!B98+'Nordea Liv '!B98+'Oslo Pensjonsforsikring'!B98+'Protector Forsikring'!B98+'SHB Liv'!B98+'Sparebank 1'!B98+'Storebrand Livsforsikring'!B98+'Telenor Forsikring'!B98+'Tryg Forsikring'!B98</f>
        <v>374504729.48596787</v>
      </c>
      <c r="C98" s="232">
        <f>'Danica Pensjonsforsikring'!C98+'DNB Livsforsikring'!C98+'Eika Forsikring AS'!C98+'Frende Livsforsikring'!C98+'Frende Skadeforsikring'!C98+'Gjensidige Forsikring'!C98+'Gjensidige Pensjon'!C98+'Handelsbanken Liv'!C98+'If Skadeforsikring NUF'!C98+KLP!C98+'KLP Bedriftspensjon AS'!C98+'KLP Skadeforsikring AS'!C98+'Landbruksforsikring AS'!C98+'NEMI Forsikring'!C98+'Nordea Liv '!C98+'Oslo Pensjonsforsikring'!C98+'Protector Forsikring'!C98+'SHB Liv'!C98+'Sparebank 1'!C98+'Storebrand Livsforsikring'!C98+'Telenor Forsikring'!C98+'Tryg Forsikring'!C98</f>
        <v>378975500.09091628</v>
      </c>
      <c r="D98" s="23">
        <f t="shared" si="23"/>
        <v>1.2</v>
      </c>
      <c r="E98" s="44">
        <f>'Danica Pensjonsforsikring'!F98+'DNB Livsforsikring'!F98+'Eika Forsikring AS'!F98+'Frende Livsforsikring'!F98+'Frende Skadeforsikring'!F98+'Gjensidige Forsikring'!F98+'Gjensidige Pensjon'!F98+'Handelsbanken Liv'!F98+'If Skadeforsikring NUF'!F98+KLP!F98+'KLP Bedriftspensjon AS'!F98+'KLP Skadeforsikring AS'!F98+'Landbruksforsikring AS'!F98+'NEMI Forsikring'!F98+'Nordea Liv '!F98+'Oslo Pensjonsforsikring'!F98+'Protector Forsikring'!F98+'SHB Liv'!F98+'Sparebank 1'!F98+'Storebrand Livsforsikring'!F98+'Telenor Forsikring'!F98+'Tryg Forsikring'!F98</f>
        <v>245000564.90924132</v>
      </c>
      <c r="F98" s="44">
        <f>'Danica Pensjonsforsikring'!G98+'DNB Livsforsikring'!G98+'Eika Forsikring AS'!G98+'Frende Livsforsikring'!G98+'Frende Skadeforsikring'!G98+'Gjensidige Forsikring'!G98+'Gjensidige Pensjon'!G98+'Handelsbanken Liv'!G98+'If Skadeforsikring NUF'!G98+KLP!G98+'KLP Bedriftspensjon AS'!G98+'KLP Skadeforsikring AS'!G98+'Landbruksforsikring AS'!G98+'NEMI Forsikring'!G98+'Nordea Liv '!G98+'Oslo Pensjonsforsikring'!G98+'Protector Forsikring'!G98+'SHB Liv'!G98+'Sparebank 1'!G98+'Storebrand Livsforsikring'!G98+'Telenor Forsikring'!G98+'Tryg Forsikring'!G98</f>
        <v>281751350.96488619</v>
      </c>
      <c r="G98" s="171">
        <f t="shared" si="24"/>
        <v>15</v>
      </c>
      <c r="H98" s="235">
        <f t="shared" si="32"/>
        <v>619505294.39520919</v>
      </c>
      <c r="I98" s="235">
        <f t="shared" si="33"/>
        <v>660726851.05580246</v>
      </c>
      <c r="J98" s="23">
        <f t="shared" si="27"/>
        <v>6.7</v>
      </c>
    </row>
    <row r="99" spans="1:10" ht="15.75" customHeight="1" x14ac:dyDescent="0.2">
      <c r="A99" s="21" t="s">
        <v>9</v>
      </c>
      <c r="B99" s="232">
        <f>'Danica Pensjonsforsikring'!B99+'DNB Livsforsikring'!B99+'Eika Forsikring AS'!B99+'Frende Livsforsikring'!B99+'Frende Skadeforsikring'!B99+'Gjensidige Forsikring'!B99+'Gjensidige Pensjon'!B99+'Handelsbanken Liv'!B99+'If Skadeforsikring NUF'!B99+KLP!B99+'KLP Bedriftspensjon AS'!B99+'KLP Skadeforsikring AS'!B99+'Landbruksforsikring AS'!B99+'NEMI Forsikring'!B99+'Nordea Liv '!B99+'Oslo Pensjonsforsikring'!B99+'Protector Forsikring'!B99+'SHB Liv'!B99+'Sparebank 1'!B99+'Storebrand Livsforsikring'!B99+'Telenor Forsikring'!B99+'Tryg Forsikring'!B99</f>
        <v>371831111.82947958</v>
      </c>
      <c r="C99" s="232">
        <f>'Danica Pensjonsforsikring'!C99+'DNB Livsforsikring'!C99+'Eika Forsikring AS'!C99+'Frende Livsforsikring'!C99+'Frende Skadeforsikring'!C99+'Gjensidige Forsikring'!C99+'Gjensidige Pensjon'!C99+'Handelsbanken Liv'!C99+'If Skadeforsikring NUF'!C99+KLP!C99+'KLP Bedriftspensjon AS'!C99+'KLP Skadeforsikring AS'!C99+'Landbruksforsikring AS'!C99+'NEMI Forsikring'!C99+'Nordea Liv '!C99+'Oslo Pensjonsforsikring'!C99+'Protector Forsikring'!C99+'SHB Liv'!C99+'Sparebank 1'!C99+'Storebrand Livsforsikring'!C99+'Telenor Forsikring'!C99+'Tryg Forsikring'!C99</f>
        <v>376053271.9500156</v>
      </c>
      <c r="D99" s="23">
        <f t="shared" si="23"/>
        <v>1.1000000000000001</v>
      </c>
      <c r="E99" s="44">
        <f>'Danica Pensjonsforsikring'!F99+'DNB Livsforsikring'!F99+'Eika Forsikring AS'!F99+'Frende Livsforsikring'!F99+'Frende Skadeforsikring'!F99+'Gjensidige Forsikring'!F99+'Gjensidige Pensjon'!F99+'Handelsbanken Liv'!F99+'If Skadeforsikring NUF'!F99+KLP!F99+'KLP Bedriftspensjon AS'!F99+'KLP Skadeforsikring AS'!F99+'Landbruksforsikring AS'!F99+'NEMI Forsikring'!F99+'Nordea Liv '!F99+'Oslo Pensjonsforsikring'!F99+'Protector Forsikring'!F99+'SHB Liv'!F99+'Sparebank 1'!F99+'Storebrand Livsforsikring'!F99+'Telenor Forsikring'!F99+'Tryg Forsikring'!F99</f>
        <v>0</v>
      </c>
      <c r="F99" s="44">
        <f>'Danica Pensjonsforsikring'!G99+'DNB Livsforsikring'!G99+'Eika Forsikring AS'!G99+'Frende Livsforsikring'!G99+'Frende Skadeforsikring'!G99+'Gjensidige Forsikring'!G99+'Gjensidige Pensjon'!G99+'Handelsbanken Liv'!G99+'If Skadeforsikring NUF'!G99+KLP!G99+'KLP Bedriftspensjon AS'!G99+'KLP Skadeforsikring AS'!G99+'Landbruksforsikring AS'!G99+'NEMI Forsikring'!G99+'Nordea Liv '!G99+'Oslo Pensjonsforsikring'!G99+'Protector Forsikring'!G99+'SHB Liv'!G99+'Sparebank 1'!G99+'Storebrand Livsforsikring'!G99+'Telenor Forsikring'!G99+'Tryg Forsikring'!G99</f>
        <v>0</v>
      </c>
      <c r="G99" s="171"/>
      <c r="H99" s="235">
        <f t="shared" si="32"/>
        <v>371831111.82947958</v>
      </c>
      <c r="I99" s="235">
        <f t="shared" si="33"/>
        <v>376053271.9500156</v>
      </c>
      <c r="J99" s="23">
        <f t="shared" si="27"/>
        <v>1.1000000000000001</v>
      </c>
    </row>
    <row r="100" spans="1:10" ht="15.75" customHeight="1" x14ac:dyDescent="0.2">
      <c r="A100" s="21" t="s">
        <v>10</v>
      </c>
      <c r="B100" s="232">
        <f>'Danica Pensjonsforsikring'!B100+'DNB Livsforsikring'!B100+'Eika Forsikring AS'!B100+'Frende Livsforsikring'!B100+'Frende Skadeforsikring'!B100+'Gjensidige Forsikring'!B100+'Gjensidige Pensjon'!B100+'Handelsbanken Liv'!B100+'If Skadeforsikring NUF'!B100+KLP!B100+'KLP Bedriftspensjon AS'!B100+'KLP Skadeforsikring AS'!B100+'Landbruksforsikring AS'!B100+'NEMI Forsikring'!B100+'Nordea Liv '!B100+'Oslo Pensjonsforsikring'!B100+'Protector Forsikring'!B100+'SHB Liv'!B100+'Sparebank 1'!B100+'Storebrand Livsforsikring'!B100+'Telenor Forsikring'!B100+'Tryg Forsikring'!B100</f>
        <v>2673617.6564883101</v>
      </c>
      <c r="C100" s="232">
        <f>'Danica Pensjonsforsikring'!C100+'DNB Livsforsikring'!C100+'Eika Forsikring AS'!C100+'Frende Livsforsikring'!C100+'Frende Skadeforsikring'!C100+'Gjensidige Forsikring'!C100+'Gjensidige Pensjon'!C100+'Handelsbanken Liv'!C100+'If Skadeforsikring NUF'!C100+KLP!C100+'KLP Bedriftspensjon AS'!C100+'KLP Skadeforsikring AS'!C100+'Landbruksforsikring AS'!C100+'NEMI Forsikring'!C100+'Nordea Liv '!C100+'Oslo Pensjonsforsikring'!C100+'Protector Forsikring'!C100+'SHB Liv'!C100+'Sparebank 1'!C100+'Storebrand Livsforsikring'!C100+'Telenor Forsikring'!C100+'Tryg Forsikring'!C100</f>
        <v>2922228.1409006999</v>
      </c>
      <c r="D100" s="23">
        <f t="shared" si="23"/>
        <v>9.3000000000000007</v>
      </c>
      <c r="E100" s="44">
        <f>'Danica Pensjonsforsikring'!F100+'DNB Livsforsikring'!F100+'Eika Forsikring AS'!F100+'Frende Livsforsikring'!F100+'Frende Skadeforsikring'!F100+'Gjensidige Forsikring'!F100+'Gjensidige Pensjon'!F100+'Handelsbanken Liv'!F100+'If Skadeforsikring NUF'!F100+KLP!F100+'KLP Bedriftspensjon AS'!F100+'KLP Skadeforsikring AS'!F100+'Landbruksforsikring AS'!F100+'NEMI Forsikring'!F100+'Nordea Liv '!F100+'Oslo Pensjonsforsikring'!F100+'Protector Forsikring'!F100+'SHB Liv'!F100+'Sparebank 1'!F100+'Storebrand Livsforsikring'!F100+'Telenor Forsikring'!F100+'Tryg Forsikring'!F100</f>
        <v>245000564.90924132</v>
      </c>
      <c r="F100" s="44">
        <f>'Danica Pensjonsforsikring'!G100+'DNB Livsforsikring'!G100+'Eika Forsikring AS'!G100+'Frende Livsforsikring'!G100+'Frende Skadeforsikring'!G100+'Gjensidige Forsikring'!G100+'Gjensidige Pensjon'!G100+'Handelsbanken Liv'!G100+'If Skadeforsikring NUF'!G100+KLP!G100+'KLP Bedriftspensjon AS'!G100+'KLP Skadeforsikring AS'!G100+'Landbruksforsikring AS'!G100+'NEMI Forsikring'!G100+'Nordea Liv '!G100+'Oslo Pensjonsforsikring'!G100+'Protector Forsikring'!G100+'SHB Liv'!G100+'Sparebank 1'!G100+'Storebrand Livsforsikring'!G100+'Telenor Forsikring'!G100+'Tryg Forsikring'!G100</f>
        <v>281751350.96488619</v>
      </c>
      <c r="G100" s="171">
        <f t="shared" si="24"/>
        <v>15</v>
      </c>
      <c r="H100" s="235">
        <f t="shared" si="32"/>
        <v>247674182.56572962</v>
      </c>
      <c r="I100" s="235">
        <f t="shared" si="33"/>
        <v>284673579.10578686</v>
      </c>
      <c r="J100" s="23">
        <f t="shared" si="27"/>
        <v>14.9</v>
      </c>
    </row>
    <row r="101" spans="1:10" ht="15.75" customHeight="1" x14ac:dyDescent="0.2">
      <c r="A101" s="294" t="s">
        <v>386</v>
      </c>
      <c r="B101" s="44"/>
      <c r="C101" s="44"/>
      <c r="D101" s="27"/>
      <c r="E101" s="44"/>
      <c r="F101" s="44"/>
      <c r="G101" s="171"/>
      <c r="H101" s="235"/>
      <c r="I101" s="235"/>
      <c r="J101" s="23"/>
    </row>
    <row r="102" spans="1:10" ht="15.75" customHeight="1" x14ac:dyDescent="0.2">
      <c r="A102" s="294" t="s">
        <v>12</v>
      </c>
      <c r="B102" s="233"/>
      <c r="C102" s="233"/>
      <c r="D102" s="27"/>
      <c r="E102" s="44"/>
      <c r="F102" s="44"/>
      <c r="G102" s="171"/>
      <c r="H102" s="235"/>
      <c r="I102" s="235"/>
      <c r="J102" s="23"/>
    </row>
    <row r="103" spans="1:10" ht="15.75" customHeight="1" x14ac:dyDescent="0.2">
      <c r="A103" s="294" t="s">
        <v>13</v>
      </c>
      <c r="B103" s="233"/>
      <c r="C103" s="233"/>
      <c r="D103" s="27"/>
      <c r="E103" s="44"/>
      <c r="F103" s="44"/>
      <c r="G103" s="171"/>
      <c r="H103" s="235"/>
      <c r="I103" s="235"/>
      <c r="J103" s="23"/>
    </row>
    <row r="104" spans="1:10" ht="15.75" customHeight="1" x14ac:dyDescent="0.2">
      <c r="A104" s="294" t="s">
        <v>387</v>
      </c>
      <c r="B104" s="44"/>
      <c r="C104" s="44"/>
      <c r="D104" s="27"/>
      <c r="E104" s="44"/>
      <c r="F104" s="44"/>
      <c r="G104" s="171"/>
      <c r="H104" s="235"/>
      <c r="I104" s="235"/>
      <c r="J104" s="23"/>
    </row>
    <row r="105" spans="1:10" ht="15.75" customHeight="1" x14ac:dyDescent="0.2">
      <c r="A105" s="294" t="s">
        <v>12</v>
      </c>
      <c r="B105" s="233"/>
      <c r="C105" s="233"/>
      <c r="D105" s="27"/>
      <c r="E105" s="44"/>
      <c r="F105" s="44"/>
      <c r="G105" s="171"/>
      <c r="H105" s="235"/>
      <c r="I105" s="235"/>
      <c r="J105" s="23"/>
    </row>
    <row r="106" spans="1:10" ht="15.75" customHeight="1" x14ac:dyDescent="0.2">
      <c r="A106" s="294" t="s">
        <v>13</v>
      </c>
      <c r="B106" s="233"/>
      <c r="C106" s="233"/>
      <c r="D106" s="27"/>
      <c r="E106" s="44"/>
      <c r="F106" s="44"/>
      <c r="G106" s="171"/>
      <c r="H106" s="235"/>
      <c r="I106" s="235"/>
      <c r="J106" s="23"/>
    </row>
    <row r="107" spans="1:10" ht="15.75" customHeight="1" x14ac:dyDescent="0.2">
      <c r="A107" s="21" t="s">
        <v>389</v>
      </c>
      <c r="B107" s="232">
        <f>'Danica Pensjonsforsikring'!B107+'DNB Livsforsikring'!B107+'Eika Forsikring AS'!B107+'Frende Livsforsikring'!B107+'Frende Skadeforsikring'!B107+'Gjensidige Forsikring'!B107+'Gjensidige Pensjon'!B107+'Handelsbanken Liv'!B107+'If Skadeforsikring NUF'!B107+KLP!B107+'KLP Bedriftspensjon AS'!B107+'KLP Skadeforsikring AS'!B107+'Landbruksforsikring AS'!B107+'NEMI Forsikring'!B107+'Nordea Liv '!B107+'Oslo Pensjonsforsikring'!B107+'Protector Forsikring'!B107+'SHB Liv'!B107+'Sparebank 1'!B107+'Storebrand Livsforsikring'!B107+'Telenor Forsikring'!B107+'Tryg Forsikring'!B107</f>
        <v>4892913.6689999998</v>
      </c>
      <c r="C107" s="232">
        <f>'Danica Pensjonsforsikring'!C107+'DNB Livsforsikring'!C107+'Eika Forsikring AS'!C107+'Frende Livsforsikring'!C107+'Frende Skadeforsikring'!C107+'Gjensidige Forsikring'!C107+'Gjensidige Pensjon'!C107+'Handelsbanken Liv'!C107+'If Skadeforsikring NUF'!C107+KLP!C107+'KLP Bedriftspensjon AS'!C107+'KLP Skadeforsikring AS'!C107+'Landbruksforsikring AS'!C107+'NEMI Forsikring'!C107+'Nordea Liv '!C107+'Oslo Pensjonsforsikring'!C107+'Protector Forsikring'!C107+'SHB Liv'!C107+'Sparebank 1'!C107+'Storebrand Livsforsikring'!C107+'Telenor Forsikring'!C107+'Tryg Forsikring'!C107</f>
        <v>4743393.6730000004</v>
      </c>
      <c r="D107" s="23">
        <f t="shared" si="23"/>
        <v>-3.1</v>
      </c>
      <c r="E107" s="44">
        <f>'Danica Pensjonsforsikring'!F107+'DNB Livsforsikring'!F107+'Eika Forsikring AS'!F107+'Frende Livsforsikring'!F107+'Frende Skadeforsikring'!F107+'Gjensidige Forsikring'!F107+'Gjensidige Pensjon'!F107+'Handelsbanken Liv'!F107+'If Skadeforsikring NUF'!F107+KLP!F107+'KLP Bedriftspensjon AS'!F107+'KLP Skadeforsikring AS'!F107+'Landbruksforsikring AS'!F107+'NEMI Forsikring'!F107+'Nordea Liv '!F107+'Oslo Pensjonsforsikring'!F107+'Protector Forsikring'!F107+'SHB Liv'!F107+'Sparebank 1'!F107+'Storebrand Livsforsikring'!F107+'Telenor Forsikring'!F107+'Tryg Forsikring'!F107</f>
        <v>669534.59270000004</v>
      </c>
      <c r="F107" s="44">
        <f>'Danica Pensjonsforsikring'!G107+'DNB Livsforsikring'!G107+'Eika Forsikring AS'!G107+'Frende Livsforsikring'!G107+'Frende Skadeforsikring'!G107+'Gjensidige Forsikring'!G107+'Gjensidige Pensjon'!G107+'Handelsbanken Liv'!G107+'If Skadeforsikring NUF'!G107+KLP!G107+'KLP Bedriftspensjon AS'!G107+'KLP Skadeforsikring AS'!G107+'Landbruksforsikring AS'!G107+'NEMI Forsikring'!G107+'Nordea Liv '!G107+'Oslo Pensjonsforsikring'!G107+'Protector Forsikring'!G107+'SHB Liv'!G107+'Sparebank 1'!G107+'Storebrand Livsforsikring'!G107+'Telenor Forsikring'!G107+'Tryg Forsikring'!G107</f>
        <v>782188.27488000004</v>
      </c>
      <c r="G107" s="171">
        <f t="shared" si="24"/>
        <v>16.8</v>
      </c>
      <c r="H107" s="235">
        <f t="shared" si="32"/>
        <v>5562448.2616999997</v>
      </c>
      <c r="I107" s="235">
        <f t="shared" si="33"/>
        <v>5525581.9478800008</v>
      </c>
      <c r="J107" s="23">
        <f t="shared" si="27"/>
        <v>-0.7</v>
      </c>
    </row>
    <row r="108" spans="1:10" ht="15.75" customHeight="1" x14ac:dyDescent="0.2">
      <c r="A108" s="21" t="s">
        <v>390</v>
      </c>
      <c r="B108" s="232">
        <f>'Danica Pensjonsforsikring'!B108+'DNB Livsforsikring'!B108+'Eika Forsikring AS'!B108+'Frende Livsforsikring'!B108+'Frende Skadeforsikring'!B108+'Gjensidige Forsikring'!B108+'Gjensidige Pensjon'!B108+'Handelsbanken Liv'!B108+'If Skadeforsikring NUF'!B108+KLP!B108+'KLP Bedriftspensjon AS'!B108+'KLP Skadeforsikring AS'!B108+'Landbruksforsikring AS'!B108+'NEMI Forsikring'!B108+'Nordea Liv '!B108+'Oslo Pensjonsforsikring'!B108+'Protector Forsikring'!B108+'SHB Liv'!B108+'Sparebank 1'!B108+'Storebrand Livsforsikring'!B108+'Telenor Forsikring'!B108+'Tryg Forsikring'!B108</f>
        <v>308753994.42856181</v>
      </c>
      <c r="C108" s="232">
        <f>'Danica Pensjonsforsikring'!C108+'DNB Livsforsikring'!C108+'Eika Forsikring AS'!C108+'Frende Livsforsikring'!C108+'Frende Skadeforsikring'!C108+'Gjensidige Forsikring'!C108+'Gjensidige Pensjon'!C108+'Handelsbanken Liv'!C108+'If Skadeforsikring NUF'!C108+KLP!C108+'KLP Bedriftspensjon AS'!C108+'KLP Skadeforsikring AS'!C108+'Landbruksforsikring AS'!C108+'NEMI Forsikring'!C108+'Nordea Liv '!C108+'Oslo Pensjonsforsikring'!C108+'Protector Forsikring'!C108+'SHB Liv'!C108+'Sparebank 1'!C108+'Storebrand Livsforsikring'!C108+'Telenor Forsikring'!C108+'Tryg Forsikring'!C108</f>
        <v>315464976.03894889</v>
      </c>
      <c r="D108" s="23">
        <f t="shared" si="23"/>
        <v>2.2000000000000002</v>
      </c>
      <c r="E108" s="44">
        <f>'Danica Pensjonsforsikring'!F108+'DNB Livsforsikring'!F108+'Eika Forsikring AS'!F108+'Frende Livsforsikring'!F108+'Frende Skadeforsikring'!F108+'Gjensidige Forsikring'!F108+'Gjensidige Pensjon'!F108+'Handelsbanken Liv'!F108+'If Skadeforsikring NUF'!F108+KLP!F108+'KLP Bedriftspensjon AS'!F108+'KLP Skadeforsikring AS'!F108+'Landbruksforsikring AS'!F108+'NEMI Forsikring'!F108+'Nordea Liv '!F108+'Oslo Pensjonsforsikring'!F108+'Protector Forsikring'!F108+'SHB Liv'!F108+'Sparebank 1'!F108+'Storebrand Livsforsikring'!F108+'Telenor Forsikring'!F108+'Tryg Forsikring'!F108</f>
        <v>15781426.664000001</v>
      </c>
      <c r="F108" s="44">
        <f>'Danica Pensjonsforsikring'!G108+'DNB Livsforsikring'!G108+'Eika Forsikring AS'!G108+'Frende Livsforsikring'!G108+'Frende Skadeforsikring'!G108+'Gjensidige Forsikring'!G108+'Gjensidige Pensjon'!G108+'Handelsbanken Liv'!G108+'If Skadeforsikring NUF'!G108+KLP!G108+'KLP Bedriftspensjon AS'!G108+'KLP Skadeforsikring AS'!G108+'Landbruksforsikring AS'!G108+'NEMI Forsikring'!G108+'Nordea Liv '!G108+'Oslo Pensjonsforsikring'!G108+'Protector Forsikring'!G108+'SHB Liv'!G108+'Sparebank 1'!G108+'Storebrand Livsforsikring'!G108+'Telenor Forsikring'!G108+'Tryg Forsikring'!G108</f>
        <v>16246281.458000001</v>
      </c>
      <c r="G108" s="171">
        <f t="shared" si="24"/>
        <v>2.9</v>
      </c>
      <c r="H108" s="235">
        <f t="shared" si="32"/>
        <v>324535421.09256178</v>
      </c>
      <c r="I108" s="235">
        <f t="shared" si="33"/>
        <v>331711257.4969489</v>
      </c>
      <c r="J108" s="23">
        <f t="shared" si="27"/>
        <v>2.2000000000000002</v>
      </c>
    </row>
    <row r="109" spans="1:10" ht="15.75" customHeight="1" x14ac:dyDescent="0.2">
      <c r="A109" s="21" t="s">
        <v>391</v>
      </c>
      <c r="B109" s="232">
        <f>'Danica Pensjonsforsikring'!B109+'DNB Livsforsikring'!B109+'Eika Forsikring AS'!B109+'Frende Livsforsikring'!B109+'Frende Skadeforsikring'!B109+'Gjensidige Forsikring'!B109+'Gjensidige Pensjon'!B109+'Handelsbanken Liv'!B109+'If Skadeforsikring NUF'!B109+KLP!B109+'KLP Bedriftspensjon AS'!B109+'KLP Skadeforsikring AS'!B109+'Landbruksforsikring AS'!B109+'NEMI Forsikring'!B109+'Nordea Liv '!B109+'Oslo Pensjonsforsikring'!B109+'Protector Forsikring'!B109+'SHB Liv'!B109+'Sparebank 1'!B109+'Storebrand Livsforsikring'!B109+'Telenor Forsikring'!B109+'Tryg Forsikring'!B109</f>
        <v>982180.82431838498</v>
      </c>
      <c r="C109" s="232">
        <f>'Danica Pensjonsforsikring'!C109+'DNB Livsforsikring'!C109+'Eika Forsikring AS'!C109+'Frende Livsforsikring'!C109+'Frende Skadeforsikring'!C109+'Gjensidige Forsikring'!C109+'Gjensidige Pensjon'!C109+'Handelsbanken Liv'!C109+'If Skadeforsikring NUF'!C109+KLP!C109+'KLP Bedriftspensjon AS'!C109+'KLP Skadeforsikring AS'!C109+'Landbruksforsikring AS'!C109+'NEMI Forsikring'!C109+'Nordea Liv '!C109+'Oslo Pensjonsforsikring'!C109+'Protector Forsikring'!C109+'SHB Liv'!C109+'Sparebank 1'!C109+'Storebrand Livsforsikring'!C109+'Telenor Forsikring'!C109+'Tryg Forsikring'!C109</f>
        <v>1006274.108164813</v>
      </c>
      <c r="D109" s="23">
        <f t="shared" si="23"/>
        <v>2.5</v>
      </c>
      <c r="E109" s="44">
        <f>'Danica Pensjonsforsikring'!F109+'DNB Livsforsikring'!F109+'Eika Forsikring AS'!F109+'Frende Livsforsikring'!F109+'Frende Skadeforsikring'!F109+'Gjensidige Forsikring'!F109+'Gjensidige Pensjon'!F109+'Handelsbanken Liv'!F109+'If Skadeforsikring NUF'!F109+KLP!F109+'KLP Bedriftspensjon AS'!F109+'KLP Skadeforsikring AS'!F109+'Landbruksforsikring AS'!F109+'NEMI Forsikring'!F109+'Nordea Liv '!F109+'Oslo Pensjonsforsikring'!F109+'Protector Forsikring'!F109+'SHB Liv'!F109+'Sparebank 1'!F109+'Storebrand Livsforsikring'!F109+'Telenor Forsikring'!F109+'Tryg Forsikring'!F109</f>
        <v>77945592.9543951</v>
      </c>
      <c r="F109" s="44">
        <f>'Danica Pensjonsforsikring'!G109+'DNB Livsforsikring'!G109+'Eika Forsikring AS'!G109+'Frende Livsforsikring'!G109+'Frende Skadeforsikring'!G109+'Gjensidige Forsikring'!G109+'Gjensidige Pensjon'!G109+'Handelsbanken Liv'!G109+'If Skadeforsikring NUF'!G109+KLP!G109+'KLP Bedriftspensjon AS'!G109+'KLP Skadeforsikring AS'!G109+'Landbruksforsikring AS'!G109+'NEMI Forsikring'!G109+'Nordea Liv '!G109+'Oslo Pensjonsforsikring'!G109+'Protector Forsikring'!G109+'SHB Liv'!G109+'Sparebank 1'!G109+'Storebrand Livsforsikring'!G109+'Telenor Forsikring'!G109+'Tryg Forsikring'!G109</f>
        <v>95645082.547237694</v>
      </c>
      <c r="G109" s="171">
        <f t="shared" si="24"/>
        <v>22.7</v>
      </c>
      <c r="H109" s="235">
        <f t="shared" si="32"/>
        <v>78927773.77871348</v>
      </c>
      <c r="I109" s="235">
        <f>SUM(C109,F109)</f>
        <v>96651356.655402511</v>
      </c>
      <c r="J109" s="23">
        <f t="shared" si="27"/>
        <v>22.5</v>
      </c>
    </row>
    <row r="110" spans="1:10" ht="15.75" customHeight="1" x14ac:dyDescent="0.2">
      <c r="A110" s="21" t="s">
        <v>392</v>
      </c>
      <c r="B110" s="232">
        <f>'Danica Pensjonsforsikring'!B110+'DNB Livsforsikring'!B110+'Eika Forsikring AS'!B110+'Frende Livsforsikring'!B110+'Frende Skadeforsikring'!B110+'Gjensidige Forsikring'!B110+'Gjensidige Pensjon'!B110+'Handelsbanken Liv'!B110+'If Skadeforsikring NUF'!B110+KLP!B110+'KLP Bedriftspensjon AS'!B110+'KLP Skadeforsikring AS'!B110+'Landbruksforsikring AS'!B110+'NEMI Forsikring'!B110+'Nordea Liv '!B110+'Oslo Pensjonsforsikring'!B110+'Protector Forsikring'!B110+'SHB Liv'!B110+'Sparebank 1'!B110+'Storebrand Livsforsikring'!B110+'Telenor Forsikring'!B110+'Tryg Forsikring'!B110</f>
        <v>73880.814859999999</v>
      </c>
      <c r="C110" s="232">
        <f>'Danica Pensjonsforsikring'!C110+'DNB Livsforsikring'!C110+'Eika Forsikring AS'!C110+'Frende Livsforsikring'!C110+'Frende Skadeforsikring'!C110+'Gjensidige Forsikring'!C110+'Gjensidige Pensjon'!C110+'Handelsbanken Liv'!C110+'If Skadeforsikring NUF'!C110+KLP!C110+'KLP Bedriftspensjon AS'!C110+'KLP Skadeforsikring AS'!C110+'Landbruksforsikring AS'!C110+'NEMI Forsikring'!C110+'Nordea Liv '!C110+'Oslo Pensjonsforsikring'!C110+'Protector Forsikring'!C110+'SHB Liv'!C110+'Sparebank 1'!C110+'Storebrand Livsforsikring'!C110+'Telenor Forsikring'!C110+'Tryg Forsikring'!C110</f>
        <v>205082.65590000001</v>
      </c>
      <c r="D110" s="23">
        <f t="shared" si="23"/>
        <v>177.6</v>
      </c>
      <c r="E110" s="44">
        <f>'Danica Pensjonsforsikring'!F110+'DNB Livsforsikring'!F110+'Eika Forsikring AS'!F110+'Frende Livsforsikring'!F110+'Frende Skadeforsikring'!F110+'Gjensidige Forsikring'!F110+'Gjensidige Pensjon'!F110+'Handelsbanken Liv'!F110+'If Skadeforsikring NUF'!F110+KLP!F110+'KLP Bedriftspensjon AS'!F110+'KLP Skadeforsikring AS'!F110+'Landbruksforsikring AS'!F110+'NEMI Forsikring'!F110+'Nordea Liv '!F110+'Oslo Pensjonsforsikring'!F110+'Protector Forsikring'!F110+'SHB Liv'!F110+'Sparebank 1'!F110+'Storebrand Livsforsikring'!F110+'Telenor Forsikring'!F110+'Tryg Forsikring'!F110</f>
        <v>0</v>
      </c>
      <c r="F110" s="44">
        <f>'Danica Pensjonsforsikring'!G110+'DNB Livsforsikring'!G110+'Eika Forsikring AS'!G110+'Frende Livsforsikring'!G110+'Frende Skadeforsikring'!G110+'Gjensidige Forsikring'!G110+'Gjensidige Pensjon'!G110+'Handelsbanken Liv'!G110+'If Skadeforsikring NUF'!G110+KLP!G110+'KLP Bedriftspensjon AS'!G110+'KLP Skadeforsikring AS'!G110+'Landbruksforsikring AS'!G110+'NEMI Forsikring'!G110+'Nordea Liv '!G110+'Oslo Pensjonsforsikring'!G110+'Protector Forsikring'!G110+'SHB Liv'!G110+'Sparebank 1'!G110+'Storebrand Livsforsikring'!G110+'Telenor Forsikring'!G110+'Tryg Forsikring'!G110</f>
        <v>0</v>
      </c>
      <c r="G110" s="171"/>
      <c r="H110" s="235">
        <f t="shared" si="32"/>
        <v>73880.814859999999</v>
      </c>
      <c r="I110" s="235">
        <f t="shared" si="33"/>
        <v>205082.65590000001</v>
      </c>
      <c r="J110" s="23">
        <f t="shared" si="27"/>
        <v>177.6</v>
      </c>
    </row>
    <row r="111" spans="1:10" s="43" customFormat="1" ht="15.75" customHeight="1" x14ac:dyDescent="0.2">
      <c r="A111" s="13" t="s">
        <v>372</v>
      </c>
      <c r="B111" s="306">
        <f>'Danica Pensjonsforsikring'!B111+'DNB Livsforsikring'!B111+'Eika Forsikring AS'!B111+'Frende Livsforsikring'!B111+'Frende Skadeforsikring'!B111+'Gjensidige Forsikring'!B111+'Gjensidige Pensjon'!B111+'Handelsbanken Liv'!B111+'If Skadeforsikring NUF'!B111+KLP!B111+'KLP Bedriftspensjon AS'!B111+'KLP Skadeforsikring AS'!B111+'Landbruksforsikring AS'!B111+'NEMI Forsikring'!B111+'Nordea Liv '!B111+'Oslo Pensjonsforsikring'!B111+'Protector Forsikring'!B111+'SHB Liv'!B111+'Sparebank 1'!B111+'Storebrand Livsforsikring'!B111+'Telenor Forsikring'!B111+'Tryg Forsikring'!B111</f>
        <v>227989.08746000001</v>
      </c>
      <c r="C111" s="306">
        <f>'Danica Pensjonsforsikring'!C111+'DNB Livsforsikring'!C111+'Eika Forsikring AS'!C111+'Frende Livsforsikring'!C111+'Frende Skadeforsikring'!C111+'Gjensidige Forsikring'!C111+'Gjensidige Pensjon'!C111+'Handelsbanken Liv'!C111+'If Skadeforsikring NUF'!C111+KLP!C111+'KLP Bedriftspensjon AS'!C111+'KLP Skadeforsikring AS'!C111+'Landbruksforsikring AS'!C111+'NEMI Forsikring'!C111+'Nordea Liv '!C111+'Oslo Pensjonsforsikring'!C111+'Protector Forsikring'!C111+'SHB Liv'!C111+'Sparebank 1'!C111+'Storebrand Livsforsikring'!C111+'Telenor Forsikring'!C111+'Tryg Forsikring'!C111</f>
        <v>263561.81909</v>
      </c>
      <c r="D111" s="24">
        <f t="shared" si="23"/>
        <v>15.6</v>
      </c>
      <c r="E111" s="234">
        <f>'Danica Pensjonsforsikring'!F111+'DNB Livsforsikring'!F111+'Eika Forsikring AS'!F111+'Frende Livsforsikring'!F111+'Frende Skadeforsikring'!F111+'Gjensidige Forsikring'!F111+'Gjensidige Pensjon'!F111+'Handelsbanken Liv'!F111+'If Skadeforsikring NUF'!F111+KLP!F111+'KLP Bedriftspensjon AS'!F111+'KLP Skadeforsikring AS'!F111+'Landbruksforsikring AS'!F111+'NEMI Forsikring'!F111+'Nordea Liv '!F111+'Oslo Pensjonsforsikring'!F111+'Protector Forsikring'!F111+'SHB Liv'!F111+'Sparebank 1'!F111+'Storebrand Livsforsikring'!F111+'Telenor Forsikring'!F111+'Tryg Forsikring'!F111</f>
        <v>7097513.9270299999</v>
      </c>
      <c r="F111" s="234">
        <f>'Danica Pensjonsforsikring'!G111+'DNB Livsforsikring'!G111+'Eika Forsikring AS'!G111+'Frende Livsforsikring'!G111+'Frende Skadeforsikring'!G111+'Gjensidige Forsikring'!G111+'Gjensidige Pensjon'!G111+'Handelsbanken Liv'!G111+'If Skadeforsikring NUF'!G111+KLP!G111+'KLP Bedriftspensjon AS'!G111+'KLP Skadeforsikring AS'!G111+'Landbruksforsikring AS'!G111+'NEMI Forsikring'!G111+'Nordea Liv '!G111+'Oslo Pensjonsforsikring'!G111+'Protector Forsikring'!G111+'SHB Liv'!G111+'Sparebank 1'!G111+'Storebrand Livsforsikring'!G111+'Telenor Forsikring'!G111+'Tryg Forsikring'!G111</f>
        <v>8159840.7861800008</v>
      </c>
      <c r="G111" s="171">
        <f t="shared" si="24"/>
        <v>15</v>
      </c>
      <c r="H111" s="326">
        <f t="shared" si="32"/>
        <v>7325503.01449</v>
      </c>
      <c r="I111" s="326">
        <f t="shared" si="33"/>
        <v>8423402.6052700002</v>
      </c>
      <c r="J111" s="24">
        <f t="shared" si="27"/>
        <v>15</v>
      </c>
    </row>
    <row r="112" spans="1:10" ht="15.75" customHeight="1" x14ac:dyDescent="0.2">
      <c r="A112" s="21" t="s">
        <v>9</v>
      </c>
      <c r="B112" s="232">
        <f>'Danica Pensjonsforsikring'!B112+'DNB Livsforsikring'!B112+'Eika Forsikring AS'!B112+'Frende Livsforsikring'!B112+'Frende Skadeforsikring'!B112+'Gjensidige Forsikring'!B112+'Gjensidige Pensjon'!B112+'Handelsbanken Liv'!B112+'If Skadeforsikring NUF'!B112+KLP!B112+'KLP Bedriftspensjon AS'!B112+'KLP Skadeforsikring AS'!B112+'Landbruksforsikring AS'!B112+'NEMI Forsikring'!B112+'Nordea Liv '!B112+'Oslo Pensjonsforsikring'!B112+'Protector Forsikring'!B112+'SHB Liv'!B112+'Sparebank 1'!B112+'Storebrand Livsforsikring'!B112+'Telenor Forsikring'!B112+'Tryg Forsikring'!B112</f>
        <v>194832.40450999999</v>
      </c>
      <c r="C112" s="232">
        <f>'Danica Pensjonsforsikring'!C112+'DNB Livsforsikring'!C112+'Eika Forsikring AS'!C112+'Frende Livsforsikring'!C112+'Frende Skadeforsikring'!C112+'Gjensidige Forsikring'!C112+'Gjensidige Pensjon'!C112+'Handelsbanken Liv'!C112+'If Skadeforsikring NUF'!C112+KLP!C112+'KLP Bedriftspensjon AS'!C112+'KLP Skadeforsikring AS'!C112+'Landbruksforsikring AS'!C112+'NEMI Forsikring'!C112+'Nordea Liv '!C112+'Oslo Pensjonsforsikring'!C112+'Protector Forsikring'!C112+'SHB Liv'!C112+'Sparebank 1'!C112+'Storebrand Livsforsikring'!C112+'Telenor Forsikring'!C112+'Tryg Forsikring'!C112</f>
        <v>210746.44973999998</v>
      </c>
      <c r="D112" s="23">
        <f t="shared" ref="D112:D125" si="38">IF(B112=0, "    ---- ", IF(ABS(ROUND(100/B112*C112-100,1))&lt;999,ROUND(100/B112*C112-100,1),IF(ROUND(100/B112*C112-100,1)&gt;999,999,-999)))</f>
        <v>8.1999999999999993</v>
      </c>
      <c r="E112" s="44">
        <f>'Danica Pensjonsforsikring'!F112+'DNB Livsforsikring'!F112+'Eika Forsikring AS'!F112+'Frende Livsforsikring'!F112+'Frende Skadeforsikring'!F112+'Gjensidige Forsikring'!F112+'Gjensidige Pensjon'!F112+'Handelsbanken Liv'!F112+'If Skadeforsikring NUF'!F112+KLP!F112+'KLP Bedriftspensjon AS'!F112+'KLP Skadeforsikring AS'!F112+'Landbruksforsikring AS'!F112+'NEMI Forsikring'!F112+'Nordea Liv '!F112+'Oslo Pensjonsforsikring'!F112+'Protector Forsikring'!F112+'SHB Liv'!F112+'Sparebank 1'!F112+'Storebrand Livsforsikring'!F112+'Telenor Forsikring'!F112+'Tryg Forsikring'!F112</f>
        <v>843.41600000000005</v>
      </c>
      <c r="F112" s="44">
        <f>'Danica Pensjonsforsikring'!G112+'DNB Livsforsikring'!G112+'Eika Forsikring AS'!G112+'Frende Livsforsikring'!G112+'Frende Skadeforsikring'!G112+'Gjensidige Forsikring'!G112+'Gjensidige Pensjon'!G112+'Handelsbanken Liv'!G112+'If Skadeforsikring NUF'!G112+KLP!G112+'KLP Bedriftspensjon AS'!G112+'KLP Skadeforsikring AS'!G112+'Landbruksforsikring AS'!G112+'NEMI Forsikring'!G112+'Nordea Liv '!G112+'Oslo Pensjonsforsikring'!G112+'Protector Forsikring'!G112+'SHB Liv'!G112+'Sparebank 1'!G112+'Storebrand Livsforsikring'!G112+'Telenor Forsikring'!G112+'Tryg Forsikring'!G112</f>
        <v>5268.41</v>
      </c>
      <c r="G112" s="171">
        <f t="shared" si="24"/>
        <v>524.70000000000005</v>
      </c>
      <c r="H112" s="235">
        <f t="shared" ref="H112:H125" si="39">SUM(B112,E112)</f>
        <v>195675.82050999999</v>
      </c>
      <c r="I112" s="235">
        <f t="shared" ref="I112:I125" si="40">SUM(C112,F112)</f>
        <v>216014.85973999999</v>
      </c>
      <c r="J112" s="23">
        <f t="shared" ref="J112:J125" si="41">IF(H112=0, "    ---- ", IF(ABS(ROUND(100/H112*I112-100,1))&lt;999,ROUND(100/H112*I112-100,1),IF(ROUND(100/H112*I112-100,1)&gt;999,999,-999)))</f>
        <v>10.4</v>
      </c>
    </row>
    <row r="113" spans="1:10" ht="15.75" customHeight="1" x14ac:dyDescent="0.2">
      <c r="A113" s="21" t="s">
        <v>10</v>
      </c>
      <c r="B113" s="232">
        <f>'Danica Pensjonsforsikring'!B113+'DNB Livsforsikring'!B113+'Eika Forsikring AS'!B113+'Frende Livsforsikring'!B113+'Frende Skadeforsikring'!B113+'Gjensidige Forsikring'!B113+'Gjensidige Pensjon'!B113+'Handelsbanken Liv'!B113+'If Skadeforsikring NUF'!B113+KLP!B113+'KLP Bedriftspensjon AS'!B113+'KLP Skadeforsikring AS'!B113+'Landbruksforsikring AS'!B113+'NEMI Forsikring'!B113+'Nordea Liv '!B113+'Oslo Pensjonsforsikring'!B113+'Protector Forsikring'!B113+'SHB Liv'!B113+'Sparebank 1'!B113+'Storebrand Livsforsikring'!B113+'Telenor Forsikring'!B113+'Tryg Forsikring'!B113</f>
        <v>1587.8170500000001</v>
      </c>
      <c r="C113" s="232">
        <f>'Danica Pensjonsforsikring'!C113+'DNB Livsforsikring'!C113+'Eika Forsikring AS'!C113+'Frende Livsforsikring'!C113+'Frende Skadeforsikring'!C113+'Gjensidige Forsikring'!C113+'Gjensidige Pensjon'!C113+'Handelsbanken Liv'!C113+'If Skadeforsikring NUF'!C113+KLP!C113+'KLP Bedriftspensjon AS'!C113+'KLP Skadeforsikring AS'!C113+'Landbruksforsikring AS'!C113+'NEMI Forsikring'!C113+'Nordea Liv '!C113+'Oslo Pensjonsforsikring'!C113+'Protector Forsikring'!C113+'SHB Liv'!C113+'Sparebank 1'!C113+'Storebrand Livsforsikring'!C113+'Telenor Forsikring'!C113+'Tryg Forsikring'!C113</f>
        <v>994.58834999999999</v>
      </c>
      <c r="D113" s="23">
        <f t="shared" si="38"/>
        <v>-37.4</v>
      </c>
      <c r="E113" s="44">
        <f>'Danica Pensjonsforsikring'!F113+'DNB Livsforsikring'!F113+'Eika Forsikring AS'!F113+'Frende Livsforsikring'!F113+'Frende Skadeforsikring'!F113+'Gjensidige Forsikring'!F113+'Gjensidige Pensjon'!F113+'Handelsbanken Liv'!F113+'If Skadeforsikring NUF'!F113+KLP!F113+'KLP Bedriftspensjon AS'!F113+'KLP Skadeforsikring AS'!F113+'Landbruksforsikring AS'!F113+'NEMI Forsikring'!F113+'Nordea Liv '!F113+'Oslo Pensjonsforsikring'!F113+'Protector Forsikring'!F113+'SHB Liv'!F113+'Sparebank 1'!F113+'Storebrand Livsforsikring'!F113+'Telenor Forsikring'!F113+'Tryg Forsikring'!F113</f>
        <v>7057456.0760300001</v>
      </c>
      <c r="F113" s="44">
        <f>'Danica Pensjonsforsikring'!G113+'DNB Livsforsikring'!G113+'Eika Forsikring AS'!G113+'Frende Livsforsikring'!G113+'Frende Skadeforsikring'!G113+'Gjensidige Forsikring'!G113+'Gjensidige Pensjon'!G113+'Handelsbanken Liv'!G113+'If Skadeforsikring NUF'!G113+KLP!G113+'KLP Bedriftspensjon AS'!G113+'KLP Skadeforsikring AS'!G113+'Landbruksforsikring AS'!G113+'NEMI Forsikring'!G113+'Nordea Liv '!G113+'Oslo Pensjonsforsikring'!G113+'Protector Forsikring'!G113+'SHB Liv'!G113+'Sparebank 1'!G113+'Storebrand Livsforsikring'!G113+'Telenor Forsikring'!G113+'Tryg Forsikring'!G113</f>
        <v>8127547.9179100003</v>
      </c>
      <c r="G113" s="171">
        <f t="shared" si="24"/>
        <v>15.2</v>
      </c>
      <c r="H113" s="235">
        <f t="shared" si="39"/>
        <v>7059043.8930799998</v>
      </c>
      <c r="I113" s="235">
        <f t="shared" si="40"/>
        <v>8128542.5062600002</v>
      </c>
      <c r="J113" s="24">
        <f t="shared" si="41"/>
        <v>15.2</v>
      </c>
    </row>
    <row r="114" spans="1:10" ht="15.75" customHeight="1" x14ac:dyDescent="0.2">
      <c r="A114" s="21" t="s">
        <v>26</v>
      </c>
      <c r="B114" s="232">
        <f>'Danica Pensjonsforsikring'!B114+'DNB Livsforsikring'!B114+'Eika Forsikring AS'!B114+'Frende Livsforsikring'!B114+'Frende Skadeforsikring'!B114+'Gjensidige Forsikring'!B114+'Gjensidige Pensjon'!B114+'Handelsbanken Liv'!B114+'If Skadeforsikring NUF'!B114+KLP!B114+'KLP Bedriftspensjon AS'!B114+'KLP Skadeforsikring AS'!B114+'Landbruksforsikring AS'!B114+'NEMI Forsikring'!B114+'Nordea Liv '!B114+'Oslo Pensjonsforsikring'!B114+'Protector Forsikring'!B114+'SHB Liv'!B114+'Sparebank 1'!B114+'Storebrand Livsforsikring'!B114+'Telenor Forsikring'!B114+'Tryg Forsikring'!B114</f>
        <v>31568.865900000001</v>
      </c>
      <c r="C114" s="232">
        <f>'Danica Pensjonsforsikring'!C114+'DNB Livsforsikring'!C114+'Eika Forsikring AS'!C114+'Frende Livsforsikring'!C114+'Frende Skadeforsikring'!C114+'Gjensidige Forsikring'!C114+'Gjensidige Pensjon'!C114+'Handelsbanken Liv'!C114+'If Skadeforsikring NUF'!C114+KLP!C114+'KLP Bedriftspensjon AS'!C114+'KLP Skadeforsikring AS'!C114+'Landbruksforsikring AS'!C114+'NEMI Forsikring'!C114+'Nordea Liv '!C114+'Oslo Pensjonsforsikring'!C114+'Protector Forsikring'!C114+'SHB Liv'!C114+'Sparebank 1'!C114+'Storebrand Livsforsikring'!C114+'Telenor Forsikring'!C114+'Tryg Forsikring'!C114</f>
        <v>51820.781000000003</v>
      </c>
      <c r="D114" s="23">
        <f t="shared" si="38"/>
        <v>64.2</v>
      </c>
      <c r="E114" s="44">
        <f>'Danica Pensjonsforsikring'!F114+'DNB Livsforsikring'!F114+'Eika Forsikring AS'!F114+'Frende Livsforsikring'!F114+'Frende Skadeforsikring'!F114+'Gjensidige Forsikring'!F114+'Gjensidige Pensjon'!F114+'Handelsbanken Liv'!F114+'If Skadeforsikring NUF'!F114+KLP!F114+'KLP Bedriftspensjon AS'!F114+'KLP Skadeforsikring AS'!F114+'Landbruksforsikring AS'!F114+'NEMI Forsikring'!F114+'Nordea Liv '!F114+'Oslo Pensjonsforsikring'!F114+'Protector Forsikring'!F114+'SHB Liv'!F114+'Sparebank 1'!F114+'Storebrand Livsforsikring'!F114+'Telenor Forsikring'!F114+'Tryg Forsikring'!F114</f>
        <v>39214.434999999998</v>
      </c>
      <c r="F114" s="44">
        <f>'Danica Pensjonsforsikring'!G114+'DNB Livsforsikring'!G114+'Eika Forsikring AS'!G114+'Frende Livsforsikring'!G114+'Frende Skadeforsikring'!G114+'Gjensidige Forsikring'!G114+'Gjensidige Pensjon'!G114+'Handelsbanken Liv'!G114+'If Skadeforsikring NUF'!G114+KLP!G114+'KLP Bedriftspensjon AS'!G114+'KLP Skadeforsikring AS'!G114+'Landbruksforsikring AS'!G114+'NEMI Forsikring'!G114+'Nordea Liv '!G114+'Oslo Pensjonsforsikring'!G114+'Protector Forsikring'!G114+'SHB Liv'!G114+'Sparebank 1'!G114+'Storebrand Livsforsikring'!G114+'Telenor Forsikring'!G114+'Tryg Forsikring'!G114</f>
        <v>27024.458269999999</v>
      </c>
      <c r="G114" s="171">
        <f t="shared" si="24"/>
        <v>-31.1</v>
      </c>
      <c r="H114" s="235">
        <f t="shared" si="39"/>
        <v>70783.300900000002</v>
      </c>
      <c r="I114" s="235">
        <f t="shared" si="40"/>
        <v>78845.239270000005</v>
      </c>
      <c r="J114" s="24">
        <f t="shared" si="41"/>
        <v>11.4</v>
      </c>
    </row>
    <row r="115" spans="1:10" ht="15.75" customHeight="1" x14ac:dyDescent="0.2">
      <c r="A115" s="294" t="s">
        <v>15</v>
      </c>
      <c r="B115" s="44"/>
      <c r="C115" s="44"/>
      <c r="D115" s="27"/>
      <c r="E115" s="44"/>
      <c r="F115" s="44"/>
      <c r="G115" s="171"/>
      <c r="H115" s="235"/>
      <c r="I115" s="235"/>
      <c r="J115" s="23"/>
    </row>
    <row r="116" spans="1:10" ht="15.75" customHeight="1" x14ac:dyDescent="0.2">
      <c r="A116" s="21" t="s">
        <v>393</v>
      </c>
      <c r="B116" s="232">
        <f>'Danica Pensjonsforsikring'!B116+'DNB Livsforsikring'!B116+'Eika Forsikring AS'!B116+'Frende Livsforsikring'!B116+'Frende Skadeforsikring'!B116+'Gjensidige Forsikring'!B116+'Gjensidige Pensjon'!B116+'Handelsbanken Liv'!B116+'If Skadeforsikring NUF'!B116+KLP!B116+'KLP Bedriftspensjon AS'!B116+'KLP Skadeforsikring AS'!B116+'Landbruksforsikring AS'!B116+'NEMI Forsikring'!B116+'Nordea Liv '!B116+'Oslo Pensjonsforsikring'!B116+'Protector Forsikring'!B116+'SHB Liv'!B116+'Sparebank 1'!B116+'Storebrand Livsforsikring'!B116+'Telenor Forsikring'!B116+'Tryg Forsikring'!B116</f>
        <v>76648.30965000001</v>
      </c>
      <c r="C116" s="232">
        <f>'Danica Pensjonsforsikring'!C116+'DNB Livsforsikring'!C116+'Eika Forsikring AS'!C116+'Frende Livsforsikring'!C116+'Frende Skadeforsikring'!C116+'Gjensidige Forsikring'!C116+'Gjensidige Pensjon'!C116+'Handelsbanken Liv'!C116+'If Skadeforsikring NUF'!C116+KLP!C116+'KLP Bedriftspensjon AS'!C116+'KLP Skadeforsikring AS'!C116+'Landbruksforsikring AS'!C116+'NEMI Forsikring'!C116+'Nordea Liv '!C116+'Oslo Pensjonsforsikring'!C116+'Protector Forsikring'!C116+'SHB Liv'!C116+'Sparebank 1'!C116+'Storebrand Livsforsikring'!C116+'Telenor Forsikring'!C116+'Tryg Forsikring'!C116</f>
        <v>71352.537179999912</v>
      </c>
      <c r="D116" s="23">
        <f t="shared" si="38"/>
        <v>-6.9</v>
      </c>
      <c r="E116" s="44">
        <f>'Danica Pensjonsforsikring'!F116+'DNB Livsforsikring'!F116+'Eika Forsikring AS'!F116+'Frende Livsforsikring'!F116+'Frende Skadeforsikring'!F116+'Gjensidige Forsikring'!F116+'Gjensidige Pensjon'!F116+'Handelsbanken Liv'!F116+'If Skadeforsikring NUF'!F116+KLP!F116+'KLP Bedriftspensjon AS'!F116+'KLP Skadeforsikring AS'!F116+'Landbruksforsikring AS'!F116+'NEMI Forsikring'!F116+'Nordea Liv '!F116+'Oslo Pensjonsforsikring'!F116+'Protector Forsikring'!F116+'SHB Liv'!F116+'Sparebank 1'!F116+'Storebrand Livsforsikring'!F116+'Telenor Forsikring'!F116+'Tryg Forsikring'!F116</f>
        <v>1609.8180000000002</v>
      </c>
      <c r="F116" s="44">
        <f>'Danica Pensjonsforsikring'!G116+'DNB Livsforsikring'!G116+'Eika Forsikring AS'!G116+'Frende Livsforsikring'!G116+'Frende Skadeforsikring'!G116+'Gjensidige Forsikring'!G116+'Gjensidige Pensjon'!G116+'Handelsbanken Liv'!G116+'If Skadeforsikring NUF'!G116+KLP!G116+'KLP Bedriftspensjon AS'!G116+'KLP Skadeforsikring AS'!G116+'Landbruksforsikring AS'!G116+'NEMI Forsikring'!G116+'Nordea Liv '!G116+'Oslo Pensjonsforsikring'!G116+'Protector Forsikring'!G116+'SHB Liv'!G116+'Sparebank 1'!G116+'Storebrand Livsforsikring'!G116+'Telenor Forsikring'!G116+'Tryg Forsikring'!G116</f>
        <v>5268.41</v>
      </c>
      <c r="G116" s="171">
        <f t="shared" si="24"/>
        <v>227.3</v>
      </c>
      <c r="H116" s="235">
        <f t="shared" si="39"/>
        <v>78258.127650000009</v>
      </c>
      <c r="I116" s="235">
        <f t="shared" si="40"/>
        <v>76620.947179999916</v>
      </c>
      <c r="J116" s="23">
        <f t="shared" si="41"/>
        <v>-2.1</v>
      </c>
    </row>
    <row r="117" spans="1:10" ht="15.75" customHeight="1" x14ac:dyDescent="0.2">
      <c r="A117" s="21" t="s">
        <v>394</v>
      </c>
      <c r="B117" s="232"/>
      <c r="C117" s="232"/>
      <c r="D117" s="23"/>
      <c r="E117" s="44">
        <f>'Danica Pensjonsforsikring'!F117+'DNB Livsforsikring'!F117+'Eika Forsikring AS'!F117+'Frende Livsforsikring'!F117+'Frende Skadeforsikring'!F117+'Gjensidige Forsikring'!F117+'Gjensidige Pensjon'!F117+'Handelsbanken Liv'!F117+'If Skadeforsikring NUF'!F117+KLP!F117+'KLP Bedriftspensjon AS'!F117+'KLP Skadeforsikring AS'!F117+'Landbruksforsikring AS'!F117+'NEMI Forsikring'!F117+'Nordea Liv '!F117+'Oslo Pensjonsforsikring'!F117+'Protector Forsikring'!F117+'SHB Liv'!F117+'Sparebank 1'!F117+'Storebrand Livsforsikring'!F117+'Telenor Forsikring'!F117+'Tryg Forsikring'!F117</f>
        <v>1146867.1980399999</v>
      </c>
      <c r="F117" s="44">
        <f>'Danica Pensjonsforsikring'!G117+'DNB Livsforsikring'!G117+'Eika Forsikring AS'!G117+'Frende Livsforsikring'!G117+'Frende Skadeforsikring'!G117+'Gjensidige Forsikring'!G117+'Gjensidige Pensjon'!G117+'Handelsbanken Liv'!G117+'If Skadeforsikring NUF'!G117+KLP!G117+'KLP Bedriftspensjon AS'!G117+'KLP Skadeforsikring AS'!G117+'Landbruksforsikring AS'!G117+'NEMI Forsikring'!G117+'Nordea Liv '!G117+'Oslo Pensjonsforsikring'!G117+'Protector Forsikring'!G117+'SHB Liv'!G117+'Sparebank 1'!G117+'Storebrand Livsforsikring'!G117+'Telenor Forsikring'!G117+'Tryg Forsikring'!G117</f>
        <v>1616627.3614800002</v>
      </c>
      <c r="G117" s="171">
        <f t="shared" si="24"/>
        <v>41</v>
      </c>
      <c r="H117" s="235">
        <f t="shared" si="39"/>
        <v>1146867.1980399999</v>
      </c>
      <c r="I117" s="235">
        <f t="shared" si="40"/>
        <v>1616627.3614800002</v>
      </c>
      <c r="J117" s="23">
        <f t="shared" si="41"/>
        <v>41</v>
      </c>
    </row>
    <row r="118" spans="1:10" ht="15.75" customHeight="1" x14ac:dyDescent="0.2">
      <c r="A118" s="21" t="s">
        <v>392</v>
      </c>
      <c r="B118" s="232"/>
      <c r="C118" s="232"/>
      <c r="D118" s="23"/>
      <c r="E118" s="44"/>
      <c r="F118" s="44"/>
      <c r="G118" s="171"/>
      <c r="H118" s="235"/>
      <c r="I118" s="235"/>
      <c r="J118" s="23"/>
    </row>
    <row r="119" spans="1:10" s="43" customFormat="1" ht="15.75" customHeight="1" x14ac:dyDescent="0.2">
      <c r="A119" s="13" t="s">
        <v>373</v>
      </c>
      <c r="B119" s="326">
        <f>'Danica Pensjonsforsikring'!B119+'DNB Livsforsikring'!B119+'Eika Forsikring AS'!B119+'Frende Livsforsikring'!B119+'Frende Skadeforsikring'!B119+'Gjensidige Forsikring'!B119+'Gjensidige Pensjon'!B119+'Handelsbanken Liv'!B119+'If Skadeforsikring NUF'!B119+KLP!B119+'KLP Bedriftspensjon AS'!B119+'KLP Skadeforsikring AS'!B119+'Landbruksforsikring AS'!B119+'NEMI Forsikring'!B119+'Nordea Liv '!B119+'Oslo Pensjonsforsikring'!B119+'Protector Forsikring'!B119+'SHB Liv'!B119+'Sparebank 1'!B119+'Storebrand Livsforsikring'!B119+'Telenor Forsikring'!B119+'Tryg Forsikring'!B119</f>
        <v>343709.60941999999</v>
      </c>
      <c r="C119" s="326">
        <f>'Danica Pensjonsforsikring'!C119+'DNB Livsforsikring'!C119+'Eika Forsikring AS'!C119+'Frende Livsforsikring'!C119+'Frende Skadeforsikring'!C119+'Gjensidige Forsikring'!C119+'Gjensidige Pensjon'!C119+'Handelsbanken Liv'!C119+'If Skadeforsikring NUF'!C119+KLP!C119+'KLP Bedriftspensjon AS'!C119+'KLP Skadeforsikring AS'!C119+'Landbruksforsikring AS'!C119+'NEMI Forsikring'!C119+'Nordea Liv '!C119+'Oslo Pensjonsforsikring'!C119+'Protector Forsikring'!C119+'SHB Liv'!C119+'Sparebank 1'!C119+'Storebrand Livsforsikring'!C119+'Telenor Forsikring'!C119+'Tryg Forsikring'!C119</f>
        <v>279928.84003999998</v>
      </c>
      <c r="D119" s="24">
        <f t="shared" si="38"/>
        <v>-18.600000000000001</v>
      </c>
      <c r="E119" s="234">
        <f>'Danica Pensjonsforsikring'!F119+'DNB Livsforsikring'!F119+'Eika Forsikring AS'!F119+'Frende Livsforsikring'!F119+'Frende Skadeforsikring'!F119+'Gjensidige Forsikring'!F119+'Gjensidige Pensjon'!F119+'Handelsbanken Liv'!F119+'If Skadeforsikring NUF'!F119+KLP!F119+'KLP Bedriftspensjon AS'!F119+'KLP Skadeforsikring AS'!F119+'Landbruksforsikring AS'!F119+'NEMI Forsikring'!F119+'Nordea Liv '!F119+'Oslo Pensjonsforsikring'!F119+'Protector Forsikring'!F119+'SHB Liv'!F119+'Sparebank 1'!F119+'Storebrand Livsforsikring'!F119+'Telenor Forsikring'!F119+'Tryg Forsikring'!F119</f>
        <v>7631084.1111300001</v>
      </c>
      <c r="F119" s="234">
        <f>'Danica Pensjonsforsikring'!G119+'DNB Livsforsikring'!G119+'Eika Forsikring AS'!G119+'Frende Livsforsikring'!G119+'Frende Skadeforsikring'!G119+'Gjensidige Forsikring'!G119+'Gjensidige Pensjon'!G119+'Handelsbanken Liv'!G119+'If Skadeforsikring NUF'!G119+KLP!G119+'KLP Bedriftspensjon AS'!G119+'KLP Skadeforsikring AS'!G119+'Landbruksforsikring AS'!G119+'NEMI Forsikring'!G119+'Nordea Liv '!G119+'Oslo Pensjonsforsikring'!G119+'Protector Forsikring'!G119+'SHB Liv'!G119+'Sparebank 1'!G119+'Storebrand Livsforsikring'!G119+'Telenor Forsikring'!G119+'Tryg Forsikring'!G119</f>
        <v>8098020.3008900005</v>
      </c>
      <c r="G119" s="171">
        <f t="shared" si="24"/>
        <v>6.1</v>
      </c>
      <c r="H119" s="326">
        <f t="shared" si="39"/>
        <v>7974793.7205499997</v>
      </c>
      <c r="I119" s="326">
        <f t="shared" si="40"/>
        <v>8377949.1409300007</v>
      </c>
      <c r="J119" s="24">
        <f t="shared" si="41"/>
        <v>5.0999999999999996</v>
      </c>
    </row>
    <row r="120" spans="1:10" ht="15.75" customHeight="1" x14ac:dyDescent="0.2">
      <c r="A120" s="21" t="s">
        <v>9</v>
      </c>
      <c r="B120" s="235">
        <f>'Danica Pensjonsforsikring'!B120+'DNB Livsforsikring'!B120+'Eika Forsikring AS'!B120+'Frende Livsforsikring'!B120+'Frende Skadeforsikring'!B120+'Gjensidige Forsikring'!B120+'Gjensidige Pensjon'!B120+'Handelsbanken Liv'!B120+'If Skadeforsikring NUF'!B120+KLP!B120+'KLP Bedriftspensjon AS'!B120+'KLP Skadeforsikring AS'!B120+'Landbruksforsikring AS'!B120+'NEMI Forsikring'!B120+'Nordea Liv '!B120+'Oslo Pensjonsforsikring'!B120+'Protector Forsikring'!B120+'SHB Liv'!B120+'Sparebank 1'!B120+'Storebrand Livsforsikring'!B120+'Telenor Forsikring'!B120+'Tryg Forsikring'!B120</f>
        <v>256318.78161999997</v>
      </c>
      <c r="C120" s="235">
        <f>'Danica Pensjonsforsikring'!C120+'DNB Livsforsikring'!C120+'Eika Forsikring AS'!C120+'Frende Livsforsikring'!C120+'Frende Skadeforsikring'!C120+'Gjensidige Forsikring'!C120+'Gjensidige Pensjon'!C120+'Handelsbanken Liv'!C120+'If Skadeforsikring NUF'!C120+KLP!C120+'KLP Bedriftspensjon AS'!C120+'KLP Skadeforsikring AS'!C120+'Landbruksforsikring AS'!C120+'NEMI Forsikring'!C120+'Nordea Liv '!C120+'Oslo Pensjonsforsikring'!C120+'Protector Forsikring'!C120+'SHB Liv'!C120+'Sparebank 1'!C120+'Storebrand Livsforsikring'!C120+'Telenor Forsikring'!C120+'Tryg Forsikring'!C120</f>
        <v>147983.87748999998</v>
      </c>
      <c r="D120" s="23">
        <f t="shared" si="38"/>
        <v>-42.3</v>
      </c>
      <c r="E120" s="44">
        <f>'Danica Pensjonsforsikring'!F120+'DNB Livsforsikring'!F120+'Eika Forsikring AS'!F120+'Frende Livsforsikring'!F120+'Frende Skadeforsikring'!F120+'Gjensidige Forsikring'!F120+'Gjensidige Pensjon'!F120+'Handelsbanken Liv'!F120+'If Skadeforsikring NUF'!F120+KLP!F120+'KLP Bedriftspensjon AS'!F120+'KLP Skadeforsikring AS'!F120+'Landbruksforsikring AS'!F120+'NEMI Forsikring'!F120+'Nordea Liv '!F120+'Oslo Pensjonsforsikring'!F120+'Protector Forsikring'!F120+'SHB Liv'!F120+'Sparebank 1'!F120+'Storebrand Livsforsikring'!F120+'Telenor Forsikring'!F120+'Tryg Forsikring'!F120</f>
        <v>0</v>
      </c>
      <c r="F120" s="44">
        <f>'Danica Pensjonsforsikring'!G120+'DNB Livsforsikring'!G120+'Eika Forsikring AS'!G120+'Frende Livsforsikring'!G120+'Frende Skadeforsikring'!G120+'Gjensidige Forsikring'!G120+'Gjensidige Pensjon'!G120+'Handelsbanken Liv'!G120+'If Skadeforsikring NUF'!G120+KLP!G120+'KLP Bedriftspensjon AS'!G120+'KLP Skadeforsikring AS'!G120+'Landbruksforsikring AS'!G120+'NEMI Forsikring'!G120+'Nordea Liv '!G120+'Oslo Pensjonsforsikring'!G120+'Protector Forsikring'!G120+'SHB Liv'!G120+'Sparebank 1'!G120+'Storebrand Livsforsikring'!G120+'Telenor Forsikring'!G120+'Tryg Forsikring'!G120</f>
        <v>0</v>
      </c>
      <c r="G120" s="171"/>
      <c r="H120" s="235">
        <f t="shared" si="39"/>
        <v>256318.78161999997</v>
      </c>
      <c r="I120" s="235">
        <f t="shared" si="40"/>
        <v>147983.87748999998</v>
      </c>
      <c r="J120" s="23">
        <f t="shared" si="41"/>
        <v>-42.3</v>
      </c>
    </row>
    <row r="121" spans="1:10" ht="15.75" customHeight="1" x14ac:dyDescent="0.2">
      <c r="A121" s="21" t="s">
        <v>10</v>
      </c>
      <c r="B121" s="235">
        <f>'Danica Pensjonsforsikring'!B121+'DNB Livsforsikring'!B121+'Eika Forsikring AS'!B121+'Frende Livsforsikring'!B121+'Frende Skadeforsikring'!B121+'Gjensidige Forsikring'!B121+'Gjensidige Pensjon'!B121+'Handelsbanken Liv'!B121+'If Skadeforsikring NUF'!B121+KLP!B121+'KLP Bedriftspensjon AS'!B121+'KLP Skadeforsikring AS'!B121+'Landbruksforsikring AS'!B121+'NEMI Forsikring'!B121+'Nordea Liv '!B121+'Oslo Pensjonsforsikring'!B121+'Protector Forsikring'!B121+'SHB Liv'!B121+'Sparebank 1'!B121+'Storebrand Livsforsikring'!B121+'Telenor Forsikring'!B121+'Tryg Forsikring'!B121</f>
        <v>12241.03692</v>
      </c>
      <c r="C121" s="235">
        <f>'Danica Pensjonsforsikring'!C121+'DNB Livsforsikring'!C121+'Eika Forsikring AS'!C121+'Frende Livsforsikring'!C121+'Frende Skadeforsikring'!C121+'Gjensidige Forsikring'!C121+'Gjensidige Pensjon'!C121+'Handelsbanken Liv'!C121+'If Skadeforsikring NUF'!C121+KLP!C121+'KLP Bedriftspensjon AS'!C121+'KLP Skadeforsikring AS'!C121+'Landbruksforsikring AS'!C121+'NEMI Forsikring'!C121+'Nordea Liv '!C121+'Oslo Pensjonsforsikring'!C121+'Protector Forsikring'!C121+'SHB Liv'!C121+'Sparebank 1'!C121+'Storebrand Livsforsikring'!C121+'Telenor Forsikring'!C121+'Tryg Forsikring'!C121</f>
        <v>21495.859639999999</v>
      </c>
      <c r="D121" s="23">
        <f t="shared" si="38"/>
        <v>75.599999999999994</v>
      </c>
      <c r="E121" s="44">
        <f>'Danica Pensjonsforsikring'!F121+'DNB Livsforsikring'!F121+'Eika Forsikring AS'!F121+'Frende Livsforsikring'!F121+'Frende Skadeforsikring'!F121+'Gjensidige Forsikring'!F121+'Gjensidige Pensjon'!F121+'Handelsbanken Liv'!F121+'If Skadeforsikring NUF'!F121+KLP!F121+'KLP Bedriftspensjon AS'!F121+'KLP Skadeforsikring AS'!F121+'Landbruksforsikring AS'!F121+'NEMI Forsikring'!F121+'Nordea Liv '!F121+'Oslo Pensjonsforsikring'!F121+'Protector Forsikring'!F121+'SHB Liv'!F121+'Sparebank 1'!F121+'Storebrand Livsforsikring'!F121+'Telenor Forsikring'!F121+'Tryg Forsikring'!F121</f>
        <v>7631084.1111300001</v>
      </c>
      <c r="F121" s="44">
        <f>'Danica Pensjonsforsikring'!G121+'DNB Livsforsikring'!G121+'Eika Forsikring AS'!G121+'Frende Livsforsikring'!G121+'Frende Skadeforsikring'!G121+'Gjensidige Forsikring'!G121+'Gjensidige Pensjon'!G121+'Handelsbanken Liv'!G121+'If Skadeforsikring NUF'!G121+KLP!G121+'KLP Bedriftspensjon AS'!G121+'KLP Skadeforsikring AS'!G121+'Landbruksforsikring AS'!G121+'NEMI Forsikring'!G121+'Nordea Liv '!G121+'Oslo Pensjonsforsikring'!G121+'Protector Forsikring'!G121+'SHB Liv'!G121+'Sparebank 1'!G121+'Storebrand Livsforsikring'!G121+'Telenor Forsikring'!G121+'Tryg Forsikring'!G121</f>
        <v>8098020.3008900005</v>
      </c>
      <c r="G121" s="171">
        <f t="shared" si="24"/>
        <v>6.1</v>
      </c>
      <c r="H121" s="235">
        <f t="shared" si="39"/>
        <v>7643325.14805</v>
      </c>
      <c r="I121" s="235">
        <f t="shared" si="40"/>
        <v>8119516.1605300009</v>
      </c>
      <c r="J121" s="23">
        <f t="shared" si="41"/>
        <v>6.2</v>
      </c>
    </row>
    <row r="122" spans="1:10" ht="15.75" customHeight="1" x14ac:dyDescent="0.2">
      <c r="A122" s="21" t="s">
        <v>26</v>
      </c>
      <c r="B122" s="235">
        <f>'Danica Pensjonsforsikring'!B122+'DNB Livsforsikring'!B122+'Eika Forsikring AS'!B122+'Frende Livsforsikring'!B122+'Frende Skadeforsikring'!B122+'Gjensidige Forsikring'!B122+'Gjensidige Pensjon'!B122+'Handelsbanken Liv'!B122+'If Skadeforsikring NUF'!B122+KLP!B122+'KLP Bedriftspensjon AS'!B122+'KLP Skadeforsikring AS'!B122+'Landbruksforsikring AS'!B122+'NEMI Forsikring'!B122+'Nordea Liv '!B122+'Oslo Pensjonsforsikring'!B122+'Protector Forsikring'!B122+'SHB Liv'!B122+'Sparebank 1'!B122+'Storebrand Livsforsikring'!B122+'Telenor Forsikring'!B122+'Tryg Forsikring'!B122</f>
        <v>75149.79088</v>
      </c>
      <c r="C122" s="235">
        <f>'Danica Pensjonsforsikring'!C122+'DNB Livsforsikring'!C122+'Eika Forsikring AS'!C122+'Frende Livsforsikring'!C122+'Frende Skadeforsikring'!C122+'Gjensidige Forsikring'!C122+'Gjensidige Pensjon'!C122+'Handelsbanken Liv'!C122+'If Skadeforsikring NUF'!C122+KLP!C122+'KLP Bedriftspensjon AS'!C122+'KLP Skadeforsikring AS'!C122+'Landbruksforsikring AS'!C122+'NEMI Forsikring'!C122+'Nordea Liv '!C122+'Oslo Pensjonsforsikring'!C122+'Protector Forsikring'!C122+'SHB Liv'!C122+'Sparebank 1'!C122+'Storebrand Livsforsikring'!C122+'Telenor Forsikring'!C122+'Tryg Forsikring'!C122</f>
        <v>110449.10291</v>
      </c>
      <c r="D122" s="23">
        <f t="shared" si="38"/>
        <v>47</v>
      </c>
      <c r="E122" s="44">
        <f>'Danica Pensjonsforsikring'!F122+'DNB Livsforsikring'!F122+'Eika Forsikring AS'!F122+'Frende Livsforsikring'!F122+'Frende Skadeforsikring'!F122+'Gjensidige Forsikring'!F122+'Gjensidige Pensjon'!F122+'Handelsbanken Liv'!F122+'If Skadeforsikring NUF'!F122+KLP!F122+'KLP Bedriftspensjon AS'!F122+'KLP Skadeforsikring AS'!F122+'Landbruksforsikring AS'!F122+'NEMI Forsikring'!F122+'Nordea Liv '!F122+'Oslo Pensjonsforsikring'!F122+'Protector Forsikring'!F122+'SHB Liv'!F122+'Sparebank 1'!F122+'Storebrand Livsforsikring'!F122+'Telenor Forsikring'!F122+'Tryg Forsikring'!F122</f>
        <v>0</v>
      </c>
      <c r="F122" s="44">
        <f>'Danica Pensjonsforsikring'!G122+'DNB Livsforsikring'!G122+'Eika Forsikring AS'!G122+'Frende Livsforsikring'!G122+'Frende Skadeforsikring'!G122+'Gjensidige Forsikring'!G122+'Gjensidige Pensjon'!G122+'Handelsbanken Liv'!G122+'If Skadeforsikring NUF'!G122+KLP!G122+'KLP Bedriftspensjon AS'!G122+'KLP Skadeforsikring AS'!G122+'Landbruksforsikring AS'!G122+'NEMI Forsikring'!G122+'Nordea Liv '!G122+'Oslo Pensjonsforsikring'!G122+'Protector Forsikring'!G122+'SHB Liv'!G122+'Sparebank 1'!G122+'Storebrand Livsforsikring'!G122+'Telenor Forsikring'!G122+'Tryg Forsikring'!G122</f>
        <v>0</v>
      </c>
      <c r="G122" s="171"/>
      <c r="H122" s="235">
        <f t="shared" si="39"/>
        <v>75149.79088</v>
      </c>
      <c r="I122" s="235">
        <f t="shared" si="40"/>
        <v>110449.10291</v>
      </c>
      <c r="J122" s="23">
        <f t="shared" si="41"/>
        <v>47</v>
      </c>
    </row>
    <row r="123" spans="1:10" ht="15.75" customHeight="1" x14ac:dyDescent="0.2">
      <c r="A123" s="294" t="s">
        <v>14</v>
      </c>
      <c r="B123" s="44"/>
      <c r="C123" s="44"/>
      <c r="D123" s="27"/>
      <c r="E123" s="44"/>
      <c r="F123" s="44"/>
      <c r="G123" s="171"/>
      <c r="H123" s="235"/>
      <c r="I123" s="235"/>
      <c r="J123" s="23"/>
    </row>
    <row r="124" spans="1:10" ht="15.75" customHeight="1" x14ac:dyDescent="0.2">
      <c r="A124" s="21" t="s">
        <v>390</v>
      </c>
      <c r="B124" s="235">
        <f>'Danica Pensjonsforsikring'!B124+'DNB Livsforsikring'!B124+'Eika Forsikring AS'!B124+'Frende Livsforsikring'!B124+'Frende Skadeforsikring'!B124+'Gjensidige Forsikring'!B124+'Gjensidige Pensjon'!B124+'Handelsbanken Liv'!B124+'If Skadeforsikring NUF'!B124+KLP!B124+'KLP Bedriftspensjon AS'!B124+'KLP Skadeforsikring AS'!B124+'Landbruksforsikring AS'!B124+'NEMI Forsikring'!B124+'Nordea Liv '!B124+'Oslo Pensjonsforsikring'!B124+'Protector Forsikring'!B124+'SHB Liv'!B124+'Sparebank 1'!B124+'Storebrand Livsforsikring'!B124+'Telenor Forsikring'!B124+'Tryg Forsikring'!B124</f>
        <v>36932.14</v>
      </c>
      <c r="C124" s="235">
        <f>'Danica Pensjonsforsikring'!C124+'DNB Livsforsikring'!C124+'Eika Forsikring AS'!C124+'Frende Livsforsikring'!C124+'Frende Skadeforsikring'!C124+'Gjensidige Forsikring'!C124+'Gjensidige Pensjon'!C124+'Handelsbanken Liv'!C124+'If Skadeforsikring NUF'!C124+KLP!C124+'KLP Bedriftspensjon AS'!C124+'KLP Skadeforsikring AS'!C124+'Landbruksforsikring AS'!C124+'NEMI Forsikring'!C124+'Nordea Liv '!C124+'Oslo Pensjonsforsikring'!C124+'Protector Forsikring'!C124+'SHB Liv'!C124+'Sparebank 1'!C124+'Storebrand Livsforsikring'!C124+'Telenor Forsikring'!C124+'Tryg Forsikring'!C124</f>
        <v>37255.994609999994</v>
      </c>
      <c r="D124" s="23">
        <f t="shared" si="38"/>
        <v>0.9</v>
      </c>
      <c r="E124" s="44">
        <f>'Danica Pensjonsforsikring'!F124+'DNB Livsforsikring'!F124+'Eika Forsikring AS'!F124+'Frende Livsforsikring'!F124+'Frende Skadeforsikring'!F124+'Gjensidige Forsikring'!F124+'Gjensidige Pensjon'!F124+'Handelsbanken Liv'!F124+'If Skadeforsikring NUF'!F124+KLP!F124+'KLP Bedriftspensjon AS'!F124+'KLP Skadeforsikring AS'!F124+'Landbruksforsikring AS'!F124+'NEMI Forsikring'!F124+'Nordea Liv '!F124+'Oslo Pensjonsforsikring'!F124+'Protector Forsikring'!F124+'SHB Liv'!F124+'Sparebank 1'!F124+'Storebrand Livsforsikring'!F124+'Telenor Forsikring'!F124+'Tryg Forsikring'!F124</f>
        <v>14811.971</v>
      </c>
      <c r="F124" s="44">
        <f>'Danica Pensjonsforsikring'!G124+'DNB Livsforsikring'!G124+'Eika Forsikring AS'!G124+'Frende Livsforsikring'!G124+'Frende Skadeforsikring'!G124+'Gjensidige Forsikring'!G124+'Gjensidige Pensjon'!G124+'Handelsbanken Liv'!G124+'If Skadeforsikring NUF'!G124+KLP!G124+'KLP Bedriftspensjon AS'!G124+'KLP Skadeforsikring AS'!G124+'Landbruksforsikring AS'!G124+'NEMI Forsikring'!G124+'Nordea Liv '!G124+'Oslo Pensjonsforsikring'!G124+'Protector Forsikring'!G124+'SHB Liv'!G124+'Sparebank 1'!G124+'Storebrand Livsforsikring'!G124+'Telenor Forsikring'!G124+'Tryg Forsikring'!G124</f>
        <v>14611.23</v>
      </c>
      <c r="G124" s="171">
        <f t="shared" si="24"/>
        <v>-1.4</v>
      </c>
      <c r="H124" s="235">
        <f t="shared" si="39"/>
        <v>51744.110999999997</v>
      </c>
      <c r="I124" s="235">
        <f t="shared" si="40"/>
        <v>51867.22460999999</v>
      </c>
      <c r="J124" s="23">
        <f t="shared" si="41"/>
        <v>0.2</v>
      </c>
    </row>
    <row r="125" spans="1:10" ht="15.75" customHeight="1" x14ac:dyDescent="0.2">
      <c r="A125" s="21" t="s">
        <v>391</v>
      </c>
      <c r="B125" s="235">
        <f>'Danica Pensjonsforsikring'!B125+'DNB Livsforsikring'!B125+'Eika Forsikring AS'!B125+'Frende Livsforsikring'!B125+'Frende Skadeforsikring'!B125+'Gjensidige Forsikring'!B125+'Gjensidige Pensjon'!B125+'Handelsbanken Liv'!B125+'If Skadeforsikring NUF'!B125+KLP!B125+'KLP Bedriftspensjon AS'!B125+'KLP Skadeforsikring AS'!B125+'Landbruksforsikring AS'!B125+'NEMI Forsikring'!B125+'Nordea Liv '!B125+'Oslo Pensjonsforsikring'!B125+'Protector Forsikring'!B125+'SHB Liv'!B125+'Sparebank 1'!B125+'Storebrand Livsforsikring'!B125+'Telenor Forsikring'!B125+'Tryg Forsikring'!B125</f>
        <v>1580.7120400000001</v>
      </c>
      <c r="C125" s="235">
        <f>'Danica Pensjonsforsikring'!C125+'DNB Livsforsikring'!C125+'Eika Forsikring AS'!C125+'Frende Livsforsikring'!C125+'Frende Skadeforsikring'!C125+'Gjensidige Forsikring'!C125+'Gjensidige Pensjon'!C125+'Handelsbanken Liv'!C125+'If Skadeforsikring NUF'!C125+KLP!C125+'KLP Bedriftspensjon AS'!C125+'KLP Skadeforsikring AS'!C125+'Landbruksforsikring AS'!C125+'NEMI Forsikring'!C125+'Nordea Liv '!C125+'Oslo Pensjonsforsikring'!C125+'Protector Forsikring'!C125+'SHB Liv'!C125+'Sparebank 1'!C125+'Storebrand Livsforsikring'!C125+'Telenor Forsikring'!C125+'Tryg Forsikring'!C125</f>
        <v>2274.8798400000001</v>
      </c>
      <c r="D125" s="23">
        <f t="shared" si="38"/>
        <v>43.9</v>
      </c>
      <c r="E125" s="44">
        <f>'Danica Pensjonsforsikring'!F125+'DNB Livsforsikring'!F125+'Eika Forsikring AS'!F125+'Frende Livsforsikring'!F125+'Frende Skadeforsikring'!F125+'Gjensidige Forsikring'!F125+'Gjensidige Pensjon'!F125+'Handelsbanken Liv'!F125+'If Skadeforsikring NUF'!F125+KLP!F125+'KLP Bedriftspensjon AS'!F125+'KLP Skadeforsikring AS'!F125+'Landbruksforsikring AS'!F125+'NEMI Forsikring'!F125+'Nordea Liv '!F125+'Oslo Pensjonsforsikring'!F125+'Protector Forsikring'!F125+'SHB Liv'!F125+'Sparebank 1'!F125+'Storebrand Livsforsikring'!F125+'Telenor Forsikring'!F125+'Tryg Forsikring'!F125</f>
        <v>1079641.9787300001</v>
      </c>
      <c r="F125" s="44">
        <f>'Danica Pensjonsforsikring'!G125+'DNB Livsforsikring'!G125+'Eika Forsikring AS'!G125+'Frende Livsforsikring'!G125+'Frende Skadeforsikring'!G125+'Gjensidige Forsikring'!G125+'Gjensidige Pensjon'!G125+'Handelsbanken Liv'!G125+'If Skadeforsikring NUF'!G125+KLP!G125+'KLP Bedriftspensjon AS'!G125+'KLP Skadeforsikring AS'!G125+'Landbruksforsikring AS'!G125+'NEMI Forsikring'!G125+'Nordea Liv '!G125+'Oslo Pensjonsforsikring'!G125+'Protector Forsikring'!G125+'SHB Liv'!G125+'Sparebank 1'!G125+'Storebrand Livsforsikring'!G125+'Telenor Forsikring'!G125+'Tryg Forsikring'!G125</f>
        <v>1689496.5580900002</v>
      </c>
      <c r="G125" s="171">
        <f t="shared" si="24"/>
        <v>56.5</v>
      </c>
      <c r="H125" s="235">
        <f t="shared" si="39"/>
        <v>1081222.69077</v>
      </c>
      <c r="I125" s="235">
        <f t="shared" si="40"/>
        <v>1691771.4379300002</v>
      </c>
      <c r="J125" s="23">
        <f t="shared" si="41"/>
        <v>56.5</v>
      </c>
    </row>
    <row r="126" spans="1:10" ht="15.75" customHeight="1" x14ac:dyDescent="0.2">
      <c r="A126" s="10" t="s">
        <v>392</v>
      </c>
      <c r="B126" s="236"/>
      <c r="C126" s="236"/>
      <c r="D126" s="22"/>
      <c r="E126" s="45"/>
      <c r="F126" s="45"/>
      <c r="G126" s="171"/>
      <c r="H126" s="236"/>
      <c r="I126" s="237"/>
      <c r="J126" s="22"/>
    </row>
    <row r="127" spans="1:10" ht="15.75" customHeight="1" x14ac:dyDescent="0.2">
      <c r="A127" s="155"/>
    </row>
    <row r="128" spans="1:10" ht="15.75" customHeight="1" x14ac:dyDescent="0.2">
      <c r="A128" s="149"/>
    </row>
    <row r="129" spans="1:10" ht="15.75" customHeight="1" x14ac:dyDescent="0.25">
      <c r="A129" s="165" t="s">
        <v>27</v>
      </c>
    </row>
    <row r="130" spans="1:10" ht="15.75" customHeight="1" x14ac:dyDescent="0.25">
      <c r="A130" s="149"/>
      <c r="B130" s="690"/>
      <c r="C130" s="690"/>
      <c r="D130" s="690"/>
      <c r="E130" s="690"/>
      <c r="F130" s="690"/>
      <c r="G130" s="690"/>
      <c r="H130" s="690"/>
      <c r="I130" s="690"/>
      <c r="J130" s="690"/>
    </row>
    <row r="131" spans="1:10" s="3" customFormat="1" ht="20.100000000000001" customHeight="1" x14ac:dyDescent="0.2">
      <c r="A131" s="144"/>
      <c r="B131" s="691" t="s">
        <v>0</v>
      </c>
      <c r="C131" s="692"/>
      <c r="D131" s="693"/>
      <c r="E131" s="692" t="s">
        <v>1</v>
      </c>
      <c r="F131" s="692"/>
      <c r="G131" s="692"/>
      <c r="H131" s="691" t="s">
        <v>2</v>
      </c>
      <c r="I131" s="692"/>
      <c r="J131" s="693"/>
    </row>
    <row r="132" spans="1:10" s="3" customFormat="1" ht="15.75" customHeight="1" x14ac:dyDescent="0.2">
      <c r="A132" s="140"/>
      <c r="B132" s="20" t="s">
        <v>422</v>
      </c>
      <c r="C132" s="20" t="s">
        <v>423</v>
      </c>
      <c r="D132" s="19" t="s">
        <v>3</v>
      </c>
      <c r="E132" s="20" t="s">
        <v>422</v>
      </c>
      <c r="F132" s="20" t="s">
        <v>423</v>
      </c>
      <c r="G132" s="19" t="s">
        <v>3</v>
      </c>
      <c r="H132" s="20" t="s">
        <v>422</v>
      </c>
      <c r="I132" s="20" t="s">
        <v>423</v>
      </c>
      <c r="J132" s="19" t="s">
        <v>3</v>
      </c>
    </row>
    <row r="133" spans="1:10" s="3" customFormat="1" ht="15.75" customHeight="1" x14ac:dyDescent="0.2">
      <c r="A133" s="666"/>
      <c r="B133" s="15"/>
      <c r="C133" s="15"/>
      <c r="D133" s="17" t="s">
        <v>4</v>
      </c>
      <c r="E133" s="16"/>
      <c r="F133" s="16"/>
      <c r="G133" s="15" t="s">
        <v>4</v>
      </c>
      <c r="H133" s="16"/>
      <c r="I133" s="16"/>
      <c r="J133" s="15" t="s">
        <v>4</v>
      </c>
    </row>
    <row r="134" spans="1:10" s="366" customFormat="1" ht="15.75" customHeight="1" x14ac:dyDescent="0.2">
      <c r="A134" s="14" t="s">
        <v>395</v>
      </c>
      <c r="B134" s="234">
        <f>'Danica Pensjonsforsikring'!B134+'DNB Livsforsikring'!B134+'Eika Forsikring AS'!B134+'Frende Livsforsikring'!B134+'Frende Skadeforsikring'!B134+'Gjensidige Forsikring'!B134+'Gjensidige Pensjon'!B134+'Handelsbanken Liv'!B134+'If Skadeforsikring NUF'!B134+KLP!B134+'KLP Bedriftspensjon AS'!B134+'KLP Skadeforsikring AS'!B134+'Landbruksforsikring AS'!B134+'NEMI Forsikring'!B134+'Nordea Liv '!B134+'Oslo Pensjonsforsikring'!B134+'Protector Forsikring'!B134+'SHB Liv'!B134+'Sparebank 1'!B134+'Storebrand Livsforsikring'!B134+'Telenor Forsikring'!B134+'Tryg Forsikring'!B134</f>
        <v>23490793.809119999</v>
      </c>
      <c r="C134" s="234">
        <f>'Danica Pensjonsforsikring'!C134+'DNB Livsforsikring'!C134+'Eika Forsikring AS'!C134+'Frende Livsforsikring'!C134+'Frende Skadeforsikring'!C134+'Gjensidige Forsikring'!C134+'Gjensidige Pensjon'!C134+'Handelsbanken Liv'!C134+'If Skadeforsikring NUF'!C134+KLP!C134+'KLP Bedriftspensjon AS'!C134+'KLP Skadeforsikring AS'!C134+'Landbruksforsikring AS'!C134+'NEMI Forsikring'!C134+'Nordea Liv '!C134+'Oslo Pensjonsforsikring'!C134+'Protector Forsikring'!C134+'SHB Liv'!C134+'Sparebank 1'!C134+'Storebrand Livsforsikring'!C134+'Telenor Forsikring'!C134+'Tryg Forsikring'!C134</f>
        <v>23675675.884070002</v>
      </c>
      <c r="D134" s="11">
        <f t="shared" ref="D134:D137" si="42">IF(B134=0, "    ---- ", IF(ABS(ROUND(100/B134*C134-100,1))&lt;999,ROUND(100/B134*C134-100,1),IF(ROUND(100/B134*C134-100,1)&gt;999,999,-999)))</f>
        <v>0.8</v>
      </c>
      <c r="E134" s="234">
        <f>'Danica Pensjonsforsikring'!F134+'DNB Livsforsikring'!F134+'Eika Forsikring AS'!F134+'Frende Livsforsikring'!F134+'Frende Skadeforsikring'!F134+'Gjensidige Forsikring'!F134+'Gjensidige Pensjon'!F134+'Handelsbanken Liv'!F134+'If Skadeforsikring NUF'!F134+KLP!F134+'KLP Bedriftspensjon AS'!F134+'KLP Skadeforsikring AS'!F134+'Landbruksforsikring AS'!F134+'NEMI Forsikring'!F134+'Nordea Liv '!F134+'Oslo Pensjonsforsikring'!F134+'Protector Forsikring'!F134+'SHB Liv'!F134+'Sparebank 1'!F134+'Storebrand Livsforsikring'!F134+'Telenor Forsikring'!F134+'Tryg Forsikring'!F134</f>
        <v>90028.570999999996</v>
      </c>
      <c r="F134" s="234">
        <f>'Danica Pensjonsforsikring'!G134+'DNB Livsforsikring'!G134+'Eika Forsikring AS'!G134+'Frende Livsforsikring'!G134+'Frende Skadeforsikring'!G134+'Gjensidige Forsikring'!G134+'Gjensidige Pensjon'!G134+'Handelsbanken Liv'!G134+'If Skadeforsikring NUF'!G134+KLP!G134+'KLP Bedriftspensjon AS'!G134+'KLP Skadeforsikring AS'!G134+'Landbruksforsikring AS'!G134+'NEMI Forsikring'!G134+'Nordea Liv '!G134+'Oslo Pensjonsforsikring'!G134+'Protector Forsikring'!G134+'SHB Liv'!G134+'Sparebank 1'!G134+'Storebrand Livsforsikring'!G134+'Telenor Forsikring'!G134+'Tryg Forsikring'!G134</f>
        <v>89130.341</v>
      </c>
      <c r="G134" s="11">
        <f t="shared" ref="G134:G135" si="43">IF(E134=0, "    ---- ", IF(ABS(ROUND(100/E134*F134-100,1))&lt;999,ROUND(100/E134*F134-100,1),IF(ROUND(100/E134*F134-100,1)&gt;999,999,-999)))</f>
        <v>-1</v>
      </c>
      <c r="H134" s="234">
        <f t="shared" ref="H134:I137" si="44">SUM(B134,E134)</f>
        <v>23580822.380119998</v>
      </c>
      <c r="I134" s="234">
        <f t="shared" si="44"/>
        <v>23764806.22507</v>
      </c>
      <c r="J134" s="11">
        <f t="shared" ref="J134:J137" si="45">IF(H134=0, "    ---- ", IF(ABS(ROUND(100/H134*I134-100,1))&lt;999,ROUND(100/H134*I134-100,1),IF(ROUND(100/H134*I134-100,1)&gt;999,999,-999)))</f>
        <v>0.8</v>
      </c>
    </row>
    <row r="135" spans="1:10" s="366" customFormat="1" ht="15.75" customHeight="1" x14ac:dyDescent="0.2">
      <c r="A135" s="13" t="s">
        <v>396</v>
      </c>
      <c r="B135" s="234">
        <f>'Danica Pensjonsforsikring'!B135+'DNB Livsforsikring'!B135+'Eika Forsikring AS'!B135+'Frende Livsforsikring'!B135+'Frende Skadeforsikring'!B135+'Gjensidige Forsikring'!B135+'Gjensidige Pensjon'!B135+'Handelsbanken Liv'!B135+'If Skadeforsikring NUF'!B135+KLP!B135+'KLP Bedriftspensjon AS'!B135+'KLP Skadeforsikring AS'!B135+'Landbruksforsikring AS'!B135+'NEMI Forsikring'!B135+'Nordea Liv '!B135+'Oslo Pensjonsforsikring'!B135+'Protector Forsikring'!B135+'SHB Liv'!B135+'Sparebank 1'!B135+'Storebrand Livsforsikring'!B135+'Telenor Forsikring'!B135+'Tryg Forsikring'!B135</f>
        <v>540551093.09562004</v>
      </c>
      <c r="C135" s="234">
        <f>'Danica Pensjonsforsikring'!C135+'DNB Livsforsikring'!C135+'Eika Forsikring AS'!C135+'Frende Livsforsikring'!C135+'Frende Skadeforsikring'!C135+'Gjensidige Forsikring'!C135+'Gjensidige Pensjon'!C135+'Handelsbanken Liv'!C135+'If Skadeforsikring NUF'!C135+KLP!C135+'KLP Bedriftspensjon AS'!C135+'KLP Skadeforsikring AS'!C135+'Landbruksforsikring AS'!C135+'NEMI Forsikring'!C135+'Nordea Liv '!C135+'Oslo Pensjonsforsikring'!C135+'Protector Forsikring'!C135+'SHB Liv'!C135+'Sparebank 1'!C135+'Storebrand Livsforsikring'!C135+'Telenor Forsikring'!C135+'Tryg Forsikring'!C135</f>
        <v>570346836.1523</v>
      </c>
      <c r="D135" s="11">
        <f t="shared" si="42"/>
        <v>5.5</v>
      </c>
      <c r="E135" s="234">
        <f>'Danica Pensjonsforsikring'!F135+'DNB Livsforsikring'!F135+'Eika Forsikring AS'!F135+'Frende Livsforsikring'!F135+'Frende Skadeforsikring'!F135+'Gjensidige Forsikring'!F135+'Gjensidige Pensjon'!F135+'Handelsbanken Liv'!F135+'If Skadeforsikring NUF'!F135+KLP!F135+'KLP Bedriftspensjon AS'!F135+'KLP Skadeforsikring AS'!F135+'Landbruksforsikring AS'!F135+'NEMI Forsikring'!F135+'Nordea Liv '!F135+'Oslo Pensjonsforsikring'!F135+'Protector Forsikring'!F135+'SHB Liv'!F135+'Sparebank 1'!F135+'Storebrand Livsforsikring'!F135+'Telenor Forsikring'!F135+'Tryg Forsikring'!F135</f>
        <v>2451095.8211500002</v>
      </c>
      <c r="F135" s="234">
        <f>'Danica Pensjonsforsikring'!G135+'DNB Livsforsikring'!G135+'Eika Forsikring AS'!G135+'Frende Livsforsikring'!G135+'Frende Skadeforsikring'!G135+'Gjensidige Forsikring'!G135+'Gjensidige Pensjon'!G135+'Handelsbanken Liv'!G135+'If Skadeforsikring NUF'!G135+KLP!G135+'KLP Bedriftspensjon AS'!G135+'KLP Skadeforsikring AS'!G135+'Landbruksforsikring AS'!G135+'NEMI Forsikring'!G135+'Nordea Liv '!G135+'Oslo Pensjonsforsikring'!G135+'Protector Forsikring'!G135+'SHB Liv'!G135+'Sparebank 1'!G135+'Storebrand Livsforsikring'!G135+'Telenor Forsikring'!G135+'Tryg Forsikring'!G135</f>
        <v>2587219.1831499999</v>
      </c>
      <c r="G135" s="11">
        <f t="shared" si="43"/>
        <v>5.6</v>
      </c>
      <c r="H135" s="234">
        <f t="shared" si="44"/>
        <v>543002188.91676998</v>
      </c>
      <c r="I135" s="234">
        <f t="shared" si="44"/>
        <v>572934055.33545005</v>
      </c>
      <c r="J135" s="11">
        <f t="shared" si="45"/>
        <v>5.5</v>
      </c>
    </row>
    <row r="136" spans="1:10" s="366" customFormat="1" ht="15.75" customHeight="1" x14ac:dyDescent="0.2">
      <c r="A136" s="13" t="s">
        <v>397</v>
      </c>
      <c r="B136" s="234">
        <f>'Danica Pensjonsforsikring'!B136+'DNB Livsforsikring'!B136+'Eika Forsikring AS'!B136+'Frende Livsforsikring'!B136+'Frende Skadeforsikring'!B136+'Gjensidige Forsikring'!B136+'Gjensidige Pensjon'!B136+'Handelsbanken Liv'!B136+'If Skadeforsikring NUF'!B136+KLP!B136+'KLP Bedriftspensjon AS'!B136+'KLP Skadeforsikring AS'!B136+'Landbruksforsikring AS'!B136+'NEMI Forsikring'!B136+'Nordea Liv '!B136+'Oslo Pensjonsforsikring'!B136+'Protector Forsikring'!B136+'SHB Liv'!B136+'Sparebank 1'!B136+'Storebrand Livsforsikring'!B136+'Telenor Forsikring'!B136+'Tryg Forsikring'!B136</f>
        <v>315630.97899999999</v>
      </c>
      <c r="C136" s="234">
        <f>'Danica Pensjonsforsikring'!C136+'DNB Livsforsikring'!C136+'Eika Forsikring AS'!C136+'Frende Livsforsikring'!C136+'Frende Skadeforsikring'!C136+'Gjensidige Forsikring'!C136+'Gjensidige Pensjon'!C136+'Handelsbanken Liv'!C136+'If Skadeforsikring NUF'!C136+KLP!C136+'KLP Bedriftspensjon AS'!C136+'KLP Skadeforsikring AS'!C136+'Landbruksforsikring AS'!C136+'NEMI Forsikring'!C136+'Nordea Liv '!C136+'Oslo Pensjonsforsikring'!C136+'Protector Forsikring'!C136+'SHB Liv'!C136+'Sparebank 1'!C136+'Storebrand Livsforsikring'!C136+'Telenor Forsikring'!C136+'Tryg Forsikring'!C136</f>
        <v>106107.522</v>
      </c>
      <c r="D136" s="11">
        <f t="shared" si="42"/>
        <v>-66.400000000000006</v>
      </c>
      <c r="E136" s="234">
        <f>'Danica Pensjonsforsikring'!F136+'DNB Livsforsikring'!F136+'Eika Forsikring AS'!F136+'Frende Livsforsikring'!F136+'Frende Skadeforsikring'!F136+'Gjensidige Forsikring'!F136+'Gjensidige Pensjon'!F136+'Handelsbanken Liv'!F136+'If Skadeforsikring NUF'!F136+KLP!F136+'KLP Bedriftspensjon AS'!F136+'KLP Skadeforsikring AS'!F136+'Landbruksforsikring AS'!F136+'NEMI Forsikring'!F136+'Nordea Liv '!F136+'Oslo Pensjonsforsikring'!F136+'Protector Forsikring'!F136+'SHB Liv'!F136+'Sparebank 1'!F136+'Storebrand Livsforsikring'!F136+'Telenor Forsikring'!F136+'Tryg Forsikring'!F136</f>
        <v>0</v>
      </c>
      <c r="F136" s="234">
        <f>'Danica Pensjonsforsikring'!G136+'DNB Livsforsikring'!G136+'Eika Forsikring AS'!G136+'Frende Livsforsikring'!G136+'Frende Skadeforsikring'!G136+'Gjensidige Forsikring'!G136+'Gjensidige Pensjon'!G136+'Handelsbanken Liv'!G136+'If Skadeforsikring NUF'!G136+KLP!G136+'KLP Bedriftspensjon AS'!G136+'KLP Skadeforsikring AS'!G136+'Landbruksforsikring AS'!G136+'NEMI Forsikring'!G136+'Nordea Liv '!G136+'Oslo Pensjonsforsikring'!G136+'Protector Forsikring'!G136+'SHB Liv'!G136+'Sparebank 1'!G136+'Storebrand Livsforsikring'!G136+'Telenor Forsikring'!G136+'Tryg Forsikring'!G136</f>
        <v>0</v>
      </c>
      <c r="G136" s="11"/>
      <c r="H136" s="234">
        <f t="shared" si="44"/>
        <v>315630.97899999999</v>
      </c>
      <c r="I136" s="234">
        <f t="shared" si="44"/>
        <v>106107.522</v>
      </c>
      <c r="J136" s="11">
        <f t="shared" si="45"/>
        <v>-66.400000000000006</v>
      </c>
    </row>
    <row r="137" spans="1:10" s="366" customFormat="1" ht="15.75" customHeight="1" x14ac:dyDescent="0.2">
      <c r="A137" s="41" t="s">
        <v>398</v>
      </c>
      <c r="B137" s="274">
        <f>'Danica Pensjonsforsikring'!B137+'DNB Livsforsikring'!B137+'Eika Forsikring AS'!B137+'Frende Livsforsikring'!B137+'Frende Skadeforsikring'!B137+'Gjensidige Forsikring'!B137+'Gjensidige Pensjon'!B137+'Handelsbanken Liv'!B137+'If Skadeforsikring NUF'!B137+KLP!B137+'KLP Bedriftspensjon AS'!B137+'KLP Skadeforsikring AS'!B137+'Landbruksforsikring AS'!B137+'NEMI Forsikring'!B137+'Nordea Liv '!B137+'Oslo Pensjonsforsikring'!B137+'Protector Forsikring'!B137+'SHB Liv'!B137+'Sparebank 1'!B137+'Storebrand Livsforsikring'!B137+'Telenor Forsikring'!B137+'Tryg Forsikring'!B137</f>
        <v>496739.50099999999</v>
      </c>
      <c r="C137" s="274">
        <f>'Danica Pensjonsforsikring'!C137+'DNB Livsforsikring'!C137+'Eika Forsikring AS'!C137+'Frende Livsforsikring'!C137+'Frende Skadeforsikring'!C137+'Gjensidige Forsikring'!C137+'Gjensidige Pensjon'!C137+'Handelsbanken Liv'!C137+'If Skadeforsikring NUF'!C137+KLP!C137+'KLP Bedriftspensjon AS'!C137+'KLP Skadeforsikring AS'!C137+'Landbruksforsikring AS'!C137+'NEMI Forsikring'!C137+'Nordea Liv '!C137+'Oslo Pensjonsforsikring'!C137+'Protector Forsikring'!C137+'SHB Liv'!C137+'Sparebank 1'!C137+'Storebrand Livsforsikring'!C137+'Telenor Forsikring'!C137+'Tryg Forsikring'!C137</f>
        <v>248299.76699999999</v>
      </c>
      <c r="D137" s="9">
        <f t="shared" si="42"/>
        <v>-50</v>
      </c>
      <c r="E137" s="274">
        <f>'Danica Pensjonsforsikring'!F137+'DNB Livsforsikring'!F137+'Eika Forsikring AS'!F137+'Frende Livsforsikring'!F137+'Frende Skadeforsikring'!F137+'Gjensidige Forsikring'!F137+'Gjensidige Pensjon'!F137+'Handelsbanken Liv'!F137+'If Skadeforsikring NUF'!F137+KLP!F137+'KLP Bedriftspensjon AS'!F137+'KLP Skadeforsikring AS'!F137+'Landbruksforsikring AS'!F137+'NEMI Forsikring'!F137+'Nordea Liv '!F137+'Oslo Pensjonsforsikring'!F137+'Protector Forsikring'!F137+'SHB Liv'!F137+'Sparebank 1'!F137+'Storebrand Livsforsikring'!F137+'Telenor Forsikring'!F137+'Tryg Forsikring'!F137</f>
        <v>0</v>
      </c>
      <c r="F137" s="274">
        <f>'Danica Pensjonsforsikring'!G137+'DNB Livsforsikring'!G137+'Eika Forsikring AS'!G137+'Frende Livsforsikring'!G137+'Frende Skadeforsikring'!G137+'Gjensidige Forsikring'!G137+'Gjensidige Pensjon'!G137+'Handelsbanken Liv'!G137+'If Skadeforsikring NUF'!G137+KLP!G137+'KLP Bedriftspensjon AS'!G137+'KLP Skadeforsikring AS'!G137+'Landbruksforsikring AS'!G137+'NEMI Forsikring'!G137+'Nordea Liv '!G137+'Oslo Pensjonsforsikring'!G137+'Protector Forsikring'!G137+'SHB Liv'!G137+'Sparebank 1'!G137+'Storebrand Livsforsikring'!G137+'Telenor Forsikring'!G137+'Tryg Forsikring'!G137</f>
        <v>0</v>
      </c>
      <c r="G137" s="9"/>
      <c r="H137" s="274">
        <f t="shared" si="44"/>
        <v>496739.50099999999</v>
      </c>
      <c r="I137" s="274">
        <f t="shared" si="44"/>
        <v>248299.76699999999</v>
      </c>
      <c r="J137" s="9">
        <f t="shared" si="45"/>
        <v>-50</v>
      </c>
    </row>
    <row r="138" spans="1:10" s="3" customFormat="1" ht="15.75" customHeight="1" x14ac:dyDescent="0.2">
      <c r="A138" s="8"/>
      <c r="E138" s="7"/>
      <c r="F138" s="7"/>
      <c r="G138" s="6"/>
      <c r="H138" s="7"/>
      <c r="I138" s="7"/>
      <c r="J138" s="6"/>
    </row>
    <row r="139" spans="1:10" ht="15.75" customHeight="1" x14ac:dyDescent="0.2"/>
    <row r="140" spans="1:10" ht="15.75" customHeight="1" x14ac:dyDescent="0.2"/>
    <row r="141" spans="1:10" ht="15.75" customHeight="1" x14ac:dyDescent="0.2"/>
    <row r="142" spans="1:10" ht="15.75" customHeight="1" x14ac:dyDescent="0.2"/>
    <row r="143" spans="1:10" ht="15.75" customHeight="1" x14ac:dyDescent="0.2"/>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sheetData>
  <mergeCells count="27">
    <mergeCell ref="B131:D131"/>
    <mergeCell ref="E131:G131"/>
    <mergeCell ref="H131:J131"/>
    <mergeCell ref="B130:D130"/>
    <mergeCell ref="E130:G130"/>
    <mergeCell ref="H130:J130"/>
    <mergeCell ref="B63:D63"/>
    <mergeCell ref="E63:G63"/>
    <mergeCell ref="H63:J63"/>
    <mergeCell ref="B19:D19"/>
    <mergeCell ref="E19:G19"/>
    <mergeCell ref="H19:J19"/>
    <mergeCell ref="B62:D62"/>
    <mergeCell ref="E62:G62"/>
    <mergeCell ref="H62:J62"/>
    <mergeCell ref="B42:D42"/>
    <mergeCell ref="E42:G42"/>
    <mergeCell ref="H42:J42"/>
    <mergeCell ref="B18:D18"/>
    <mergeCell ref="E18:G18"/>
    <mergeCell ref="H18:J18"/>
    <mergeCell ref="B2:D2"/>
    <mergeCell ref="E2:G2"/>
    <mergeCell ref="H2:J2"/>
    <mergeCell ref="B4:D4"/>
    <mergeCell ref="E4:G4"/>
    <mergeCell ref="H4:J4"/>
  </mergeCells>
  <conditionalFormatting sqref="H101:I106">
    <cfRule type="expression" dxfId="1564" priority="63">
      <formula>kvartal&lt;4</formula>
    </cfRule>
  </conditionalFormatting>
  <conditionalFormatting sqref="H69:I74">
    <cfRule type="expression" dxfId="1563" priority="71">
      <formula>kvartal&lt;4</formula>
    </cfRule>
  </conditionalFormatting>
  <conditionalFormatting sqref="H80:I85">
    <cfRule type="expression" dxfId="1562" priority="68">
      <formula>kvartal&lt;4</formula>
    </cfRule>
  </conditionalFormatting>
  <conditionalFormatting sqref="H90:I95">
    <cfRule type="expression" dxfId="1561" priority="64">
      <formula>kvartal&lt;4</formula>
    </cfRule>
  </conditionalFormatting>
  <conditionalFormatting sqref="H115:I115">
    <cfRule type="expression" dxfId="1560" priority="62">
      <formula>kvartal&lt;4</formula>
    </cfRule>
  </conditionalFormatting>
  <conditionalFormatting sqref="H123:I123">
    <cfRule type="expression" dxfId="1559" priority="61">
      <formula>kvartal&lt;4</formula>
    </cfRule>
  </conditionalFormatting>
  <conditionalFormatting sqref="A50:A52">
    <cfRule type="expression" dxfId="1558" priority="57">
      <formula>kvartal &lt; 4</formula>
    </cfRule>
  </conditionalFormatting>
  <conditionalFormatting sqref="A69:A74">
    <cfRule type="expression" dxfId="1557" priority="55">
      <formula>kvartal &lt; 4</formula>
    </cfRule>
  </conditionalFormatting>
  <conditionalFormatting sqref="A80:A85">
    <cfRule type="expression" dxfId="1556" priority="54">
      <formula>kvartal &lt; 4</formula>
    </cfRule>
  </conditionalFormatting>
  <conditionalFormatting sqref="A90:A95">
    <cfRule type="expression" dxfId="1555" priority="51">
      <formula>kvartal &lt; 4</formula>
    </cfRule>
  </conditionalFormatting>
  <conditionalFormatting sqref="A101:A106">
    <cfRule type="expression" dxfId="1554" priority="50">
      <formula>kvartal &lt; 4</formula>
    </cfRule>
  </conditionalFormatting>
  <conditionalFormatting sqref="A115">
    <cfRule type="expression" dxfId="1553" priority="49">
      <formula>kvartal &lt; 4</formula>
    </cfRule>
  </conditionalFormatting>
  <conditionalFormatting sqref="A123">
    <cfRule type="expression" dxfId="1552" priority="48">
      <formula>kvartal &lt; 4</formula>
    </cfRule>
  </conditionalFormatting>
  <conditionalFormatting sqref="B50:B52">
    <cfRule type="expression" dxfId="1551" priority="41">
      <formula>kvartal&lt;4</formula>
    </cfRule>
  </conditionalFormatting>
  <conditionalFormatting sqref="B69">
    <cfRule type="expression" dxfId="1550" priority="39">
      <formula>kvartal&lt;4</formula>
    </cfRule>
  </conditionalFormatting>
  <conditionalFormatting sqref="B72">
    <cfRule type="expression" dxfId="1549" priority="38">
      <formula>kvartal&lt;4</formula>
    </cfRule>
  </conditionalFormatting>
  <conditionalFormatting sqref="B80">
    <cfRule type="expression" dxfId="1548" priority="37">
      <formula>kvartal&lt;4</formula>
    </cfRule>
  </conditionalFormatting>
  <conditionalFormatting sqref="B83">
    <cfRule type="expression" dxfId="1547" priority="36">
      <formula>kvartal&lt;4</formula>
    </cfRule>
  </conditionalFormatting>
  <conditionalFormatting sqref="B90">
    <cfRule type="expression" dxfId="1546" priority="31">
      <formula>kvartal&lt;4</formula>
    </cfRule>
  </conditionalFormatting>
  <conditionalFormatting sqref="B93">
    <cfRule type="expression" dxfId="1545" priority="30">
      <formula>kvartal&lt;4</formula>
    </cfRule>
  </conditionalFormatting>
  <conditionalFormatting sqref="B101">
    <cfRule type="expression" dxfId="1544" priority="29">
      <formula>kvartal&lt;4</formula>
    </cfRule>
  </conditionalFormatting>
  <conditionalFormatting sqref="B104">
    <cfRule type="expression" dxfId="1543" priority="28">
      <formula>kvartal&lt;4</formula>
    </cfRule>
  </conditionalFormatting>
  <conditionalFormatting sqref="B115">
    <cfRule type="expression" dxfId="1542" priority="27">
      <formula>kvartal&lt;4</formula>
    </cfRule>
  </conditionalFormatting>
  <conditionalFormatting sqref="B123">
    <cfRule type="expression" dxfId="1541" priority="26">
      <formula>kvartal&lt;4</formula>
    </cfRule>
  </conditionalFormatting>
  <conditionalFormatting sqref="E69:E74">
    <cfRule type="expression" dxfId="1540" priority="25">
      <formula>kvartal&lt;4</formula>
    </cfRule>
  </conditionalFormatting>
  <conditionalFormatting sqref="E80:E85">
    <cfRule type="expression" dxfId="1539" priority="24">
      <formula>kvartal&lt;4</formula>
    </cfRule>
  </conditionalFormatting>
  <conditionalFormatting sqref="E90:E95">
    <cfRule type="expression" dxfId="1538" priority="21">
      <formula>kvartal&lt;4</formula>
    </cfRule>
  </conditionalFormatting>
  <conditionalFormatting sqref="E101:E106">
    <cfRule type="expression" dxfId="1537" priority="20">
      <formula>kvartal&lt;4</formula>
    </cfRule>
  </conditionalFormatting>
  <conditionalFormatting sqref="E115">
    <cfRule type="expression" dxfId="1536" priority="19">
      <formula>kvartal&lt;4</formula>
    </cfRule>
  </conditionalFormatting>
  <conditionalFormatting sqref="E123">
    <cfRule type="expression" dxfId="1535" priority="18">
      <formula>kvartal&lt;4</formula>
    </cfRule>
  </conditionalFormatting>
  <conditionalFormatting sqref="C50:C52">
    <cfRule type="expression" dxfId="1534" priority="17">
      <formula>kvartal&lt;4</formula>
    </cfRule>
  </conditionalFormatting>
  <conditionalFormatting sqref="C69">
    <cfRule type="expression" dxfId="1533" priority="16">
      <formula>kvartal&lt;4</formula>
    </cfRule>
  </conditionalFormatting>
  <conditionalFormatting sqref="C72">
    <cfRule type="expression" dxfId="1532" priority="15">
      <formula>kvartal&lt;4</formula>
    </cfRule>
  </conditionalFormatting>
  <conditionalFormatting sqref="C80">
    <cfRule type="expression" dxfId="1531" priority="14">
      <formula>kvartal&lt;4</formula>
    </cfRule>
  </conditionalFormatting>
  <conditionalFormatting sqref="C83">
    <cfRule type="expression" dxfId="1530" priority="13">
      <formula>kvartal&lt;4</formula>
    </cfRule>
  </conditionalFormatting>
  <conditionalFormatting sqref="C90">
    <cfRule type="expression" dxfId="1529" priority="12">
      <formula>kvartal&lt;4</formula>
    </cfRule>
  </conditionalFormatting>
  <conditionalFormatting sqref="C93">
    <cfRule type="expression" dxfId="1528" priority="11">
      <formula>kvartal&lt;4</formula>
    </cfRule>
  </conditionalFormatting>
  <conditionalFormatting sqref="C101">
    <cfRule type="expression" dxfId="1527" priority="10">
      <formula>kvartal&lt;4</formula>
    </cfRule>
  </conditionalFormatting>
  <conditionalFormatting sqref="C104">
    <cfRule type="expression" dxfId="1526" priority="9">
      <formula>kvartal&lt;4</formula>
    </cfRule>
  </conditionalFormatting>
  <conditionalFormatting sqref="C115">
    <cfRule type="expression" dxfId="1525" priority="8">
      <formula>kvartal&lt;4</formula>
    </cfRule>
  </conditionalFormatting>
  <conditionalFormatting sqref="C123">
    <cfRule type="expression" dxfId="1524" priority="7">
      <formula>kvartal&lt;4</formula>
    </cfRule>
  </conditionalFormatting>
  <conditionalFormatting sqref="F69:F74">
    <cfRule type="expression" dxfId="1523" priority="6">
      <formula>kvartal&lt;4</formula>
    </cfRule>
  </conditionalFormatting>
  <conditionalFormatting sqref="F80:F85">
    <cfRule type="expression" dxfId="1522" priority="5">
      <formula>kvartal&lt;4</formula>
    </cfRule>
  </conditionalFormatting>
  <conditionalFormatting sqref="F90:F95">
    <cfRule type="expression" dxfId="1521" priority="4">
      <formula>kvartal&lt;4</formula>
    </cfRule>
  </conditionalFormatting>
  <conditionalFormatting sqref="F101:F106">
    <cfRule type="expression" dxfId="1520" priority="3">
      <formula>kvartal&lt;4</formula>
    </cfRule>
  </conditionalFormatting>
  <conditionalFormatting sqref="F115">
    <cfRule type="expression" dxfId="1519" priority="2">
      <formula>kvartal&lt;4</formula>
    </cfRule>
  </conditionalFormatting>
  <conditionalFormatting sqref="F123">
    <cfRule type="expression" dxfId="1518" priority="1">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N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64"/>
      <c r="C1" s="246" t="s">
        <v>86</v>
      </c>
      <c r="D1" s="26"/>
      <c r="E1" s="26"/>
      <c r="F1" s="26"/>
      <c r="G1" s="26"/>
      <c r="H1" s="26"/>
      <c r="I1" s="26"/>
      <c r="J1" s="26"/>
      <c r="K1" s="26"/>
      <c r="L1" s="26"/>
      <c r="M1" s="26"/>
    </row>
    <row r="2" spans="1:14" ht="15.75" x14ac:dyDescent="0.25">
      <c r="A2" s="165" t="s">
        <v>28</v>
      </c>
      <c r="B2" s="700"/>
      <c r="C2" s="700"/>
      <c r="D2" s="700"/>
      <c r="E2" s="355"/>
      <c r="F2" s="700"/>
      <c r="G2" s="700"/>
      <c r="H2" s="700"/>
      <c r="I2" s="355"/>
      <c r="J2" s="700"/>
      <c r="K2" s="700"/>
      <c r="L2" s="700"/>
      <c r="M2" s="355"/>
    </row>
    <row r="3" spans="1:14" ht="15.75" x14ac:dyDescent="0.25">
      <c r="A3" s="163"/>
      <c r="B3" s="355"/>
      <c r="C3" s="355"/>
      <c r="D3" s="355"/>
      <c r="E3" s="355"/>
      <c r="F3" s="355"/>
      <c r="G3" s="355"/>
      <c r="H3" s="355"/>
      <c r="I3" s="355"/>
      <c r="J3" s="355"/>
      <c r="K3" s="355"/>
      <c r="L3" s="355"/>
      <c r="M3" s="355"/>
    </row>
    <row r="4" spans="1:14" x14ac:dyDescent="0.2">
      <c r="A4" s="144"/>
      <c r="B4" s="696" t="s">
        <v>0</v>
      </c>
      <c r="C4" s="697"/>
      <c r="D4" s="697"/>
      <c r="E4" s="354"/>
      <c r="F4" s="696" t="s">
        <v>1</v>
      </c>
      <c r="G4" s="697"/>
      <c r="H4" s="697"/>
      <c r="I4" s="357"/>
      <c r="J4" s="696" t="s">
        <v>2</v>
      </c>
      <c r="K4" s="697"/>
      <c r="L4" s="697"/>
      <c r="M4" s="357"/>
    </row>
    <row r="5" spans="1:14" x14ac:dyDescent="0.2">
      <c r="A5" s="158"/>
      <c r="B5" s="152" t="s">
        <v>422</v>
      </c>
      <c r="C5" s="152" t="s">
        <v>423</v>
      </c>
      <c r="D5" s="243" t="s">
        <v>3</v>
      </c>
      <c r="E5" s="303" t="s">
        <v>29</v>
      </c>
      <c r="F5" s="152" t="s">
        <v>422</v>
      </c>
      <c r="G5" s="152" t="s">
        <v>423</v>
      </c>
      <c r="H5" s="243" t="s">
        <v>3</v>
      </c>
      <c r="I5" s="162" t="s">
        <v>29</v>
      </c>
      <c r="J5" s="152" t="s">
        <v>422</v>
      </c>
      <c r="K5" s="152" t="s">
        <v>423</v>
      </c>
      <c r="L5" s="243" t="s">
        <v>3</v>
      </c>
      <c r="M5" s="162" t="s">
        <v>29</v>
      </c>
    </row>
    <row r="6" spans="1:14" x14ac:dyDescent="0.2">
      <c r="A6" s="665"/>
      <c r="B6" s="156"/>
      <c r="C6" s="156"/>
      <c r="D6" s="244" t="s">
        <v>4</v>
      </c>
      <c r="E6" s="156" t="s">
        <v>30</v>
      </c>
      <c r="F6" s="161"/>
      <c r="G6" s="161"/>
      <c r="H6" s="243" t="s">
        <v>4</v>
      </c>
      <c r="I6" s="156" t="s">
        <v>30</v>
      </c>
      <c r="J6" s="161"/>
      <c r="K6" s="161"/>
      <c r="L6" s="243" t="s">
        <v>4</v>
      </c>
      <c r="M6" s="156" t="s">
        <v>30</v>
      </c>
    </row>
    <row r="7" spans="1:14" ht="15.75" x14ac:dyDescent="0.2">
      <c r="A7" s="14" t="s">
        <v>23</v>
      </c>
      <c r="B7" s="304">
        <v>139794.40100000001</v>
      </c>
      <c r="C7" s="305">
        <v>141183.02799999999</v>
      </c>
      <c r="D7" s="347">
        <f>IF(B7=0, "    ---- ", IF(ABS(ROUND(100/B7*C7-100,1))&lt;999,ROUND(100/B7*C7-100,1),IF(ROUND(100/B7*C7-100,1)&gt;999,999,-999)))</f>
        <v>1</v>
      </c>
      <c r="E7" s="11">
        <f>IFERROR(100/'Skjema total MA'!C7*C7,0)</f>
        <v>5.3164189763042904</v>
      </c>
      <c r="F7" s="304">
        <v>185800.174</v>
      </c>
      <c r="G7" s="305">
        <v>151516.96400000001</v>
      </c>
      <c r="H7" s="347">
        <f>IF(F7=0, "    ---- ", IF(ABS(ROUND(100/F7*G7-100,1))&lt;999,ROUND(100/F7*G7-100,1),IF(ROUND(100/F7*G7-100,1)&gt;999,999,-999)))</f>
        <v>-18.5</v>
      </c>
      <c r="I7" s="160">
        <f>IFERROR(100/'Skjema total MA'!F7*G7,0)</f>
        <v>3.0138891907810779</v>
      </c>
      <c r="J7" s="306">
        <f t="shared" ref="J7:K12" si="0">SUM(B7,F7)</f>
        <v>325594.57500000001</v>
      </c>
      <c r="K7" s="307">
        <f t="shared" si="0"/>
        <v>292699.99199999997</v>
      </c>
      <c r="L7" s="370">
        <f>IF(J7=0, "    ---- ", IF(ABS(ROUND(100/J7*K7-100,1))&lt;999,ROUND(100/J7*K7-100,1),IF(ROUND(100/J7*K7-100,1)&gt;999,999,-999)))</f>
        <v>-10.1</v>
      </c>
      <c r="M7" s="11">
        <f>IFERROR(100/'Skjema total MA'!I7*K7,0)</f>
        <v>3.8097620400043848</v>
      </c>
    </row>
    <row r="8" spans="1:14" ht="15.75" x14ac:dyDescent="0.2">
      <c r="A8" s="21" t="s">
        <v>25</v>
      </c>
      <c r="B8" s="279">
        <v>67822.025999999998</v>
      </c>
      <c r="C8" s="280">
        <v>67470.362999999998</v>
      </c>
      <c r="D8" s="166">
        <f t="shared" ref="D8:D10" si="1">IF(B8=0, "    ---- ", IF(ABS(ROUND(100/B8*C8-100,1))&lt;999,ROUND(100/B8*C8-100,1),IF(ROUND(100/B8*C8-100,1)&gt;999,999,-999)))</f>
        <v>-0.5</v>
      </c>
      <c r="E8" s="27">
        <f>IFERROR(100/'Skjema total MA'!C8*C8,0)</f>
        <v>4.2244469242221898</v>
      </c>
      <c r="F8" s="283"/>
      <c r="G8" s="284"/>
      <c r="H8" s="166"/>
      <c r="I8" s="175"/>
      <c r="J8" s="232">
        <f t="shared" si="0"/>
        <v>67822.025999999998</v>
      </c>
      <c r="K8" s="285">
        <f t="shared" si="0"/>
        <v>67470.362999999998</v>
      </c>
      <c r="L8" s="252"/>
      <c r="M8" s="27">
        <f>IFERROR(100/'Skjema total MA'!I8*K8,0)</f>
        <v>4.2244469242221898</v>
      </c>
    </row>
    <row r="9" spans="1:14" ht="15.75" x14ac:dyDescent="0.2">
      <c r="A9" s="21" t="s">
        <v>24</v>
      </c>
      <c r="B9" s="279">
        <v>37297.317999999999</v>
      </c>
      <c r="C9" s="280">
        <v>34863.917000000001</v>
      </c>
      <c r="D9" s="166">
        <f t="shared" si="1"/>
        <v>-6.5</v>
      </c>
      <c r="E9" s="27">
        <f>IFERROR(100/'Skjema total MA'!C9*C9,0)</f>
        <v>5.9876874462817549</v>
      </c>
      <c r="F9" s="283"/>
      <c r="G9" s="284"/>
      <c r="H9" s="166"/>
      <c r="I9" s="175"/>
      <c r="J9" s="232">
        <f t="shared" si="0"/>
        <v>37297.317999999999</v>
      </c>
      <c r="K9" s="285">
        <f t="shared" si="0"/>
        <v>34863.917000000001</v>
      </c>
      <c r="L9" s="252"/>
      <c r="M9" s="27">
        <f>IFERROR(100/'Skjema total MA'!I9*K9,0)</f>
        <v>5.9876874462817549</v>
      </c>
    </row>
    <row r="10" spans="1:14" ht="15.75" x14ac:dyDescent="0.2">
      <c r="A10" s="13" t="s">
        <v>371</v>
      </c>
      <c r="B10" s="308">
        <v>330742.53000000003</v>
      </c>
      <c r="C10" s="309">
        <v>355869.94900000002</v>
      </c>
      <c r="D10" s="171">
        <f t="shared" si="1"/>
        <v>7.6</v>
      </c>
      <c r="E10" s="11">
        <f>IFERROR(100/'Skjema total MA'!C10*C10,0)</f>
        <v>1.806877053301734</v>
      </c>
      <c r="F10" s="308">
        <v>2553375.2420000001</v>
      </c>
      <c r="G10" s="309">
        <v>2597713.6430000002</v>
      </c>
      <c r="H10" s="171">
        <f t="shared" ref="H10:H12" si="2">IF(F10=0, "    ---- ", IF(ABS(ROUND(100/F10*G10-100,1))&lt;999,ROUND(100/F10*G10-100,1),IF(ROUND(100/F10*G10-100,1)&gt;999,999,-999)))</f>
        <v>1.7</v>
      </c>
      <c r="I10" s="160">
        <f>IFERROR(100/'Skjema total MA'!F10*G10,0)</f>
        <v>5.5980553929844241</v>
      </c>
      <c r="J10" s="306">
        <f t="shared" si="0"/>
        <v>2884117.7719999999</v>
      </c>
      <c r="K10" s="307">
        <f t="shared" si="0"/>
        <v>2953583.5920000002</v>
      </c>
      <c r="L10" s="371">
        <f t="shared" ref="L10:L12" si="3">IF(J10=0, "    ---- ", IF(ABS(ROUND(100/J10*K10-100,1))&lt;999,ROUND(100/J10*K10-100,1),IF(ROUND(100/J10*K10-100,1)&gt;999,999,-999)))</f>
        <v>2.4</v>
      </c>
      <c r="M10" s="11">
        <f>IFERROR(100/'Skjema total MA'!I10*K10,0)</f>
        <v>4.4684130295578752</v>
      </c>
    </row>
    <row r="11" spans="1:14" s="43" customFormat="1" ht="15.75" x14ac:dyDescent="0.2">
      <c r="A11" s="13" t="s">
        <v>372</v>
      </c>
      <c r="B11" s="308"/>
      <c r="C11" s="309"/>
      <c r="D11" s="171"/>
      <c r="E11" s="11"/>
      <c r="F11" s="308">
        <v>6022.9170000000004</v>
      </c>
      <c r="G11" s="309">
        <v>24591.899000000001</v>
      </c>
      <c r="H11" s="171">
        <f t="shared" si="2"/>
        <v>308.3</v>
      </c>
      <c r="I11" s="160">
        <f>IFERROR(100/'Skjema total MA'!F11*G11,0)</f>
        <v>14.64676852592078</v>
      </c>
      <c r="J11" s="306">
        <f t="shared" si="0"/>
        <v>6022.9170000000004</v>
      </c>
      <c r="K11" s="307">
        <f t="shared" si="0"/>
        <v>24591.899000000001</v>
      </c>
      <c r="L11" s="371">
        <f t="shared" si="3"/>
        <v>308.3</v>
      </c>
      <c r="M11" s="11">
        <f>IFERROR(100/'Skjema total MA'!I11*K11,0)</f>
        <v>12.742324143878733</v>
      </c>
      <c r="N11" s="143"/>
    </row>
    <row r="12" spans="1:14" s="43" customFormat="1" ht="15.75" x14ac:dyDescent="0.2">
      <c r="A12" s="41" t="s">
        <v>373</v>
      </c>
      <c r="B12" s="310"/>
      <c r="C12" s="311"/>
      <c r="D12" s="169"/>
      <c r="E12" s="36"/>
      <c r="F12" s="310">
        <v>16977.019</v>
      </c>
      <c r="G12" s="311">
        <v>19908.121999999999</v>
      </c>
      <c r="H12" s="169">
        <f t="shared" si="2"/>
        <v>17.3</v>
      </c>
      <c r="I12" s="169">
        <f>IFERROR(100/'Skjema total MA'!F12*G12,0)</f>
        <v>17.567264253913077</v>
      </c>
      <c r="J12" s="312">
        <f t="shared" si="0"/>
        <v>16977.019</v>
      </c>
      <c r="K12" s="313">
        <f t="shared" si="0"/>
        <v>19908.121999999999</v>
      </c>
      <c r="L12" s="372">
        <f t="shared" si="3"/>
        <v>17.3</v>
      </c>
      <c r="M12" s="36">
        <f>IFERROR(100/'Skjema total MA'!I12*K12,0)</f>
        <v>16.918588379608877</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95"/>
      <c r="C18" s="695"/>
      <c r="D18" s="695"/>
      <c r="E18" s="355"/>
      <c r="F18" s="695"/>
      <c r="G18" s="695"/>
      <c r="H18" s="695"/>
      <c r="I18" s="355"/>
      <c r="J18" s="695"/>
      <c r="K18" s="695"/>
      <c r="L18" s="695"/>
      <c r="M18" s="355"/>
    </row>
    <row r="19" spans="1:14" x14ac:dyDescent="0.2">
      <c r="A19" s="144"/>
      <c r="B19" s="696" t="s">
        <v>0</v>
      </c>
      <c r="C19" s="697"/>
      <c r="D19" s="697"/>
      <c r="E19" s="354"/>
      <c r="F19" s="696" t="s">
        <v>1</v>
      </c>
      <c r="G19" s="697"/>
      <c r="H19" s="697"/>
      <c r="I19" s="357"/>
      <c r="J19" s="696" t="s">
        <v>2</v>
      </c>
      <c r="K19" s="697"/>
      <c r="L19" s="697"/>
      <c r="M19" s="357"/>
    </row>
    <row r="20" spans="1:14" x14ac:dyDescent="0.2">
      <c r="A20" s="140" t="s">
        <v>5</v>
      </c>
      <c r="B20" s="152" t="s">
        <v>422</v>
      </c>
      <c r="C20" s="152" t="s">
        <v>423</v>
      </c>
      <c r="D20" s="162" t="s">
        <v>3</v>
      </c>
      <c r="E20" s="303" t="s">
        <v>29</v>
      </c>
      <c r="F20" s="152" t="s">
        <v>422</v>
      </c>
      <c r="G20" s="152" t="s">
        <v>423</v>
      </c>
      <c r="H20" s="162" t="s">
        <v>3</v>
      </c>
      <c r="I20" s="162" t="s">
        <v>29</v>
      </c>
      <c r="J20" s="152" t="s">
        <v>422</v>
      </c>
      <c r="K20" s="152" t="s">
        <v>423</v>
      </c>
      <c r="L20" s="162" t="s">
        <v>3</v>
      </c>
      <c r="M20" s="162" t="s">
        <v>29</v>
      </c>
    </row>
    <row r="21" spans="1:14" x14ac:dyDescent="0.2">
      <c r="A21" s="666"/>
      <c r="B21" s="156"/>
      <c r="C21" s="156"/>
      <c r="D21" s="244" t="s">
        <v>4</v>
      </c>
      <c r="E21" s="362" t="s">
        <v>30</v>
      </c>
      <c r="F21" s="161"/>
      <c r="G21" s="161"/>
      <c r="H21" s="243" t="s">
        <v>4</v>
      </c>
      <c r="I21" s="156" t="s">
        <v>30</v>
      </c>
      <c r="J21" s="161"/>
      <c r="K21" s="161"/>
      <c r="L21" s="156" t="s">
        <v>4</v>
      </c>
      <c r="M21" s="156" t="s">
        <v>30</v>
      </c>
    </row>
    <row r="22" spans="1:14" ht="15.75" x14ac:dyDescent="0.2">
      <c r="A22" s="14" t="s">
        <v>23</v>
      </c>
      <c r="B22" s="308">
        <v>8196.35</v>
      </c>
      <c r="C22" s="308">
        <v>7662.9260000000004</v>
      </c>
      <c r="D22" s="347">
        <f t="shared" ref="D22:D29" si="4">IF(B22=0, "    ---- ", IF(ABS(ROUND(100/B22*C22-100,1))&lt;999,ROUND(100/B22*C22-100,1),IF(ROUND(100/B22*C22-100,1)&gt;999,999,-999)))</f>
        <v>-6.5</v>
      </c>
      <c r="E22" s="11">
        <f>IFERROR(100/'Skjema total MA'!C22*C22,0)</f>
        <v>0.74103293021505789</v>
      </c>
      <c r="F22" s="316">
        <v>28758.37</v>
      </c>
      <c r="G22" s="316">
        <v>26797.542000000001</v>
      </c>
      <c r="H22" s="347">
        <f t="shared" ref="H22:H35" si="5">IF(F22=0, "    ---- ", IF(ABS(ROUND(100/F22*G22-100,1))&lt;999,ROUND(100/F22*G22-100,1),IF(ROUND(100/F22*G22-100,1)&gt;999,999,-999)))</f>
        <v>-6.8</v>
      </c>
      <c r="I22" s="160">
        <f>IFERROR(100/'Skjema total MA'!F22*G22,0)</f>
        <v>4.8409900652592182</v>
      </c>
      <c r="J22" s="314">
        <f t="shared" ref="J22:K35" si="6">SUM(B22,F22)</f>
        <v>36954.720000000001</v>
      </c>
      <c r="K22" s="314">
        <f t="shared" si="6"/>
        <v>34460.468000000001</v>
      </c>
      <c r="L22" s="370">
        <f t="shared" ref="L22:L35" si="7">IF(J22=0, "    ---- ", IF(ABS(ROUND(100/J22*K22-100,1))&lt;999,ROUND(100/J22*K22-100,1),IF(ROUND(100/J22*K22-100,1)&gt;999,999,-999)))</f>
        <v>-6.7</v>
      </c>
      <c r="M22" s="24">
        <f>IFERROR(100/'Skjema total MA'!I22*K22,0)</f>
        <v>2.1705438566970345</v>
      </c>
    </row>
    <row r="23" spans="1:14" ht="15.75" x14ac:dyDescent="0.2">
      <c r="A23" s="551" t="s">
        <v>374</v>
      </c>
      <c r="B23" s="279"/>
      <c r="C23" s="279"/>
      <c r="D23" s="166"/>
      <c r="E23" s="11"/>
      <c r="F23" s="288">
        <v>2870.049</v>
      </c>
      <c r="G23" s="288">
        <v>2697.7310000000002</v>
      </c>
      <c r="H23" s="252">
        <f t="shared" si="5"/>
        <v>-6</v>
      </c>
      <c r="I23" s="238">
        <f>IFERROR(100/'Skjema total MA'!F23*G23,0)</f>
        <v>6.2947971510519301</v>
      </c>
      <c r="J23" s="288">
        <f t="shared" ref="J23:J26" si="8">SUM(B23,F23)</f>
        <v>2870.049</v>
      </c>
      <c r="K23" s="288">
        <f t="shared" ref="K23:K26" si="9">SUM(C23,G23)</f>
        <v>2697.7310000000002</v>
      </c>
      <c r="L23" s="252">
        <f t="shared" si="7"/>
        <v>-6</v>
      </c>
      <c r="M23" s="23">
        <f>IFERROR(100/'Skjema total MA'!I23*K23,0)</f>
        <v>0.33581145019424163</v>
      </c>
    </row>
    <row r="24" spans="1:14" ht="15.75" x14ac:dyDescent="0.2">
      <c r="A24" s="551" t="s">
        <v>375</v>
      </c>
      <c r="B24" s="279"/>
      <c r="C24" s="279"/>
      <c r="D24" s="166"/>
      <c r="E24" s="11"/>
      <c r="F24" s="288"/>
      <c r="G24" s="288"/>
      <c r="H24" s="166"/>
      <c r="I24" s="238"/>
      <c r="J24" s="288"/>
      <c r="K24" s="288"/>
      <c r="L24" s="166"/>
      <c r="M24" s="23"/>
    </row>
    <row r="25" spans="1:14" ht="15.75" x14ac:dyDescent="0.2">
      <c r="A25" s="551" t="s">
        <v>376</v>
      </c>
      <c r="B25" s="279"/>
      <c r="C25" s="279"/>
      <c r="D25" s="166"/>
      <c r="E25" s="11"/>
      <c r="F25" s="288">
        <v>869.16800000000001</v>
      </c>
      <c r="G25" s="288">
        <v>760.76800000000003</v>
      </c>
      <c r="H25" s="252">
        <f t="shared" ref="H25:H26" si="10">IF(F25=0, "    ---- ", IF(ABS(ROUND(100/F25*G25-100,1))&lt;999,ROUND(100/F25*G25-100,1),IF(ROUND(100/F25*G25-100,1)&gt;999,999,-999)))</f>
        <v>-12.5</v>
      </c>
      <c r="I25" s="238">
        <f>IFERROR(100/'Skjema total MA'!F25*G25,0)</f>
        <v>3.7717607299242286</v>
      </c>
      <c r="J25" s="288">
        <f t="shared" si="8"/>
        <v>869.16800000000001</v>
      </c>
      <c r="K25" s="288">
        <f t="shared" si="9"/>
        <v>760.76800000000003</v>
      </c>
      <c r="L25" s="252">
        <f t="shared" si="7"/>
        <v>-12.5</v>
      </c>
      <c r="M25" s="23">
        <f>IFERROR(100/'Skjema total MA'!I25*K25,0)</f>
        <v>1.9463797233784164</v>
      </c>
    </row>
    <row r="26" spans="1:14" ht="15.75" x14ac:dyDescent="0.2">
      <c r="A26" s="551" t="s">
        <v>377</v>
      </c>
      <c r="B26" s="279"/>
      <c r="C26" s="279"/>
      <c r="D26" s="166"/>
      <c r="E26" s="11"/>
      <c r="F26" s="288">
        <v>25019.152999999998</v>
      </c>
      <c r="G26" s="288">
        <v>23339.043000000001</v>
      </c>
      <c r="H26" s="252">
        <f t="shared" si="10"/>
        <v>-6.7</v>
      </c>
      <c r="I26" s="238">
        <f>IFERROR(100/'Skjema total MA'!F26*G26,0)</f>
        <v>4.7632024513426474</v>
      </c>
      <c r="J26" s="288">
        <f t="shared" si="8"/>
        <v>25019.152999999998</v>
      </c>
      <c r="K26" s="288">
        <f t="shared" si="9"/>
        <v>23339.043000000001</v>
      </c>
      <c r="L26" s="252">
        <f t="shared" si="7"/>
        <v>-6.7</v>
      </c>
      <c r="M26" s="23">
        <f>IFERROR(100/'Skjema total MA'!I26*K26,0)</f>
        <v>4.7632024513426474</v>
      </c>
    </row>
    <row r="27" spans="1:14" x14ac:dyDescent="0.2">
      <c r="A27" s="551" t="s">
        <v>11</v>
      </c>
      <c r="B27" s="279"/>
      <c r="C27" s="279"/>
      <c r="D27" s="166"/>
      <c r="E27" s="11"/>
      <c r="F27" s="288"/>
      <c r="G27" s="288"/>
      <c r="H27" s="166"/>
      <c r="I27" s="238"/>
      <c r="J27" s="288"/>
      <c r="K27" s="288"/>
      <c r="L27" s="166"/>
      <c r="M27" s="23"/>
    </row>
    <row r="28" spans="1:14" ht="15.75" x14ac:dyDescent="0.2">
      <c r="A28" s="49" t="s">
        <v>282</v>
      </c>
      <c r="B28" s="44">
        <v>8196.35</v>
      </c>
      <c r="C28" s="285">
        <v>7662.9260000000004</v>
      </c>
      <c r="D28" s="166">
        <f t="shared" si="4"/>
        <v>-6.5</v>
      </c>
      <c r="E28" s="11">
        <f>IFERROR(100/'Skjema total MA'!C28*C28,0)</f>
        <v>0.73243220077398619</v>
      </c>
      <c r="F28" s="232"/>
      <c r="G28" s="285"/>
      <c r="H28" s="166"/>
      <c r="I28" s="175"/>
      <c r="J28" s="44">
        <f t="shared" si="6"/>
        <v>8196.35</v>
      </c>
      <c r="K28" s="44">
        <f t="shared" si="6"/>
        <v>7662.9260000000004</v>
      </c>
      <c r="L28" s="252">
        <f t="shared" si="7"/>
        <v>-6.5</v>
      </c>
      <c r="M28" s="23">
        <f>IFERROR(100/'Skjema total MA'!I28*K28,0)</f>
        <v>0.73243220077398619</v>
      </c>
    </row>
    <row r="29" spans="1:14" s="3" customFormat="1" ht="15.75" x14ac:dyDescent="0.2">
      <c r="A29" s="13" t="s">
        <v>371</v>
      </c>
      <c r="B29" s="234">
        <v>90286.812000000005</v>
      </c>
      <c r="C29" s="234">
        <v>121314.64599999999</v>
      </c>
      <c r="D29" s="171">
        <f t="shared" si="4"/>
        <v>34.4</v>
      </c>
      <c r="E29" s="11">
        <f>IFERROR(100/'Skjema total MA'!C29*C29,0)</f>
        <v>0.25563215047484217</v>
      </c>
      <c r="F29" s="306">
        <v>2187408.9440000001</v>
      </c>
      <c r="G29" s="306">
        <v>2099972.5120000001</v>
      </c>
      <c r="H29" s="171">
        <f t="shared" si="5"/>
        <v>-4</v>
      </c>
      <c r="I29" s="160">
        <f>IFERROR(100/'Skjema total MA'!F29*G29,0)</f>
        <v>10.27791716696089</v>
      </c>
      <c r="J29" s="234">
        <f t="shared" si="6"/>
        <v>2277695.7560000001</v>
      </c>
      <c r="K29" s="234">
        <f t="shared" si="6"/>
        <v>2221287.1580000003</v>
      </c>
      <c r="L29" s="371">
        <f t="shared" si="7"/>
        <v>-2.5</v>
      </c>
      <c r="M29" s="24">
        <f>IFERROR(100/'Skjema total MA'!I29*K29,0)</f>
        <v>3.2719583921829192</v>
      </c>
      <c r="N29" s="148"/>
    </row>
    <row r="30" spans="1:14" s="3" customFormat="1" ht="15.75" x14ac:dyDescent="0.2">
      <c r="A30" s="551" t="s">
        <v>374</v>
      </c>
      <c r="B30" s="279"/>
      <c r="C30" s="279"/>
      <c r="D30" s="166"/>
      <c r="E30" s="11"/>
      <c r="F30" s="288">
        <v>671415.59400000004</v>
      </c>
      <c r="G30" s="288">
        <v>621889.83299999998</v>
      </c>
      <c r="H30" s="166">
        <f t="shared" si="5"/>
        <v>-7.4</v>
      </c>
      <c r="I30" s="238">
        <f>IFERROR(100/'Skjema total MA'!F30*G30,0)</f>
        <v>14.612982902378249</v>
      </c>
      <c r="J30" s="288">
        <f t="shared" ref="J30:J33" si="11">SUM(B30,F30)</f>
        <v>671415.59400000004</v>
      </c>
      <c r="K30" s="288">
        <f t="shared" ref="K30:K33" si="12">SUM(C30,G30)</f>
        <v>621889.83299999998</v>
      </c>
      <c r="L30" s="252">
        <f t="shared" si="7"/>
        <v>-7.4</v>
      </c>
      <c r="M30" s="23">
        <f>IFERROR(100/'Skjema total MA'!I30*K30,0)</f>
        <v>4.2256325886863797</v>
      </c>
      <c r="N30" s="148"/>
    </row>
    <row r="31" spans="1:14" s="3" customFormat="1" ht="15.75" x14ac:dyDescent="0.2">
      <c r="A31" s="551" t="s">
        <v>375</v>
      </c>
      <c r="B31" s="279"/>
      <c r="C31" s="279"/>
      <c r="D31" s="166"/>
      <c r="E31" s="11"/>
      <c r="F31" s="288">
        <v>1361268.121</v>
      </c>
      <c r="G31" s="288">
        <v>1250259.3019999999</v>
      </c>
      <c r="H31" s="166">
        <f t="shared" si="5"/>
        <v>-8.1999999999999993</v>
      </c>
      <c r="I31" s="238">
        <f>IFERROR(100/'Skjema total MA'!F31*G31,0)</f>
        <v>13.383815123820721</v>
      </c>
      <c r="J31" s="288">
        <f t="shared" si="11"/>
        <v>1361268.121</v>
      </c>
      <c r="K31" s="288">
        <f t="shared" si="12"/>
        <v>1250259.3019999999</v>
      </c>
      <c r="L31" s="252">
        <f t="shared" si="7"/>
        <v>-8.1999999999999993</v>
      </c>
      <c r="M31" s="23">
        <f>IFERROR(100/'Skjema total MA'!I31*K31,0)</f>
        <v>2.9087542600091307</v>
      </c>
      <c r="N31" s="148"/>
    </row>
    <row r="32" spans="1:14" ht="15.75" x14ac:dyDescent="0.2">
      <c r="A32" s="551" t="s">
        <v>376</v>
      </c>
      <c r="B32" s="279"/>
      <c r="C32" s="279"/>
      <c r="D32" s="166"/>
      <c r="E32" s="11"/>
      <c r="F32" s="288">
        <v>76200.323000000004</v>
      </c>
      <c r="G32" s="288">
        <v>70097.351999999999</v>
      </c>
      <c r="H32" s="166">
        <f t="shared" si="5"/>
        <v>-8</v>
      </c>
      <c r="I32" s="238">
        <f>IFERROR(100/'Skjema total MA'!F32*G32,0)</f>
        <v>1.6178601840950353</v>
      </c>
      <c r="J32" s="288">
        <f t="shared" si="11"/>
        <v>76200.323000000004</v>
      </c>
      <c r="K32" s="288">
        <f t="shared" si="12"/>
        <v>70097.351999999999</v>
      </c>
      <c r="L32" s="252">
        <f t="shared" si="7"/>
        <v>-8</v>
      </c>
      <c r="M32" s="23">
        <f>IFERROR(100/'Skjema total MA'!I32*K32,0)</f>
        <v>1.212050404216779</v>
      </c>
    </row>
    <row r="33" spans="1:14" ht="15.75" x14ac:dyDescent="0.2">
      <c r="A33" s="551" t="s">
        <v>377</v>
      </c>
      <c r="B33" s="279"/>
      <c r="C33" s="279"/>
      <c r="D33" s="166"/>
      <c r="E33" s="11"/>
      <c r="F33" s="288">
        <v>78524.906000000003</v>
      </c>
      <c r="G33" s="288">
        <v>157726.02499999999</v>
      </c>
      <c r="H33" s="166">
        <f t="shared" si="5"/>
        <v>100.9</v>
      </c>
      <c r="I33" s="238">
        <f>IFERROR(100/'Skjema total MA'!F33*G33,0)</f>
        <v>6.3043593103768512</v>
      </c>
      <c r="J33" s="288">
        <f t="shared" si="11"/>
        <v>78524.906000000003</v>
      </c>
      <c r="K33" s="288">
        <f t="shared" si="12"/>
        <v>157726.02499999999</v>
      </c>
      <c r="L33" s="252">
        <f t="shared" si="7"/>
        <v>100.9</v>
      </c>
      <c r="M33" s="23">
        <f>IFERROR(100/'Skjema total MA'!I34*K33,0)</f>
        <v>304.22805619996353</v>
      </c>
    </row>
    <row r="34" spans="1:14" ht="15.75" x14ac:dyDescent="0.2">
      <c r="A34" s="13" t="s">
        <v>372</v>
      </c>
      <c r="B34" s="234"/>
      <c r="C34" s="307"/>
      <c r="D34" s="171"/>
      <c r="E34" s="11"/>
      <c r="F34" s="306">
        <v>6324.8429999999998</v>
      </c>
      <c r="G34" s="307">
        <v>4064.7020000000002</v>
      </c>
      <c r="H34" s="171">
        <f t="shared" si="5"/>
        <v>-35.700000000000003</v>
      </c>
      <c r="I34" s="160">
        <f>IFERROR(100/'Skjema total MA'!F34*G34,0)</f>
        <v>10.440748566940666</v>
      </c>
      <c r="J34" s="234">
        <f t="shared" si="6"/>
        <v>6324.8429999999998</v>
      </c>
      <c r="K34" s="234">
        <f t="shared" si="6"/>
        <v>4064.7020000000002</v>
      </c>
      <c r="L34" s="371">
        <f t="shared" si="7"/>
        <v>-35.700000000000003</v>
      </c>
      <c r="M34" s="24">
        <f>IFERROR(100/'Skjema total MA'!I34*K34,0)</f>
        <v>7.8401543974249295</v>
      </c>
    </row>
    <row r="35" spans="1:14" ht="15.75" x14ac:dyDescent="0.2">
      <c r="A35" s="13" t="s">
        <v>373</v>
      </c>
      <c r="B35" s="234"/>
      <c r="C35" s="307"/>
      <c r="D35" s="171"/>
      <c r="E35" s="11"/>
      <c r="F35" s="306">
        <v>5341.7790000000005</v>
      </c>
      <c r="G35" s="307">
        <v>5527.018</v>
      </c>
      <c r="H35" s="171">
        <f t="shared" si="5"/>
        <v>3.5</v>
      </c>
      <c r="I35" s="160">
        <f>IFERROR(100/'Skjema total MA'!F35*G35,0)</f>
        <v>8.6473358745290874</v>
      </c>
      <c r="J35" s="234">
        <f t="shared" si="6"/>
        <v>5341.7790000000005</v>
      </c>
      <c r="K35" s="234">
        <f t="shared" si="6"/>
        <v>5527.018</v>
      </c>
      <c r="L35" s="371">
        <f t="shared" si="7"/>
        <v>3.5</v>
      </c>
      <c r="M35" s="24">
        <f>IFERROR(100/'Skjema total MA'!I35*K35,0)</f>
        <v>10.632861542875593</v>
      </c>
    </row>
    <row r="36" spans="1:14" ht="15.75" x14ac:dyDescent="0.2">
      <c r="A36" s="12" t="s">
        <v>290</v>
      </c>
      <c r="B36" s="234"/>
      <c r="C36" s="307"/>
      <c r="D36" s="171"/>
      <c r="E36" s="11"/>
      <c r="F36" s="317"/>
      <c r="G36" s="318"/>
      <c r="H36" s="171"/>
      <c r="I36" s="373"/>
      <c r="J36" s="234"/>
      <c r="K36" s="234"/>
      <c r="L36" s="371"/>
      <c r="M36" s="24"/>
    </row>
    <row r="37" spans="1:14" ht="15.75" x14ac:dyDescent="0.2">
      <c r="A37" s="12" t="s">
        <v>379</v>
      </c>
      <c r="B37" s="234"/>
      <c r="C37" s="307"/>
      <c r="D37" s="171"/>
      <c r="E37" s="11"/>
      <c r="F37" s="317"/>
      <c r="G37" s="319"/>
      <c r="H37" s="171"/>
      <c r="I37" s="373"/>
      <c r="J37" s="234"/>
      <c r="K37" s="234"/>
      <c r="L37" s="371"/>
      <c r="M37" s="24"/>
    </row>
    <row r="38" spans="1:14" ht="15.75" x14ac:dyDescent="0.2">
      <c r="A38" s="12" t="s">
        <v>380</v>
      </c>
      <c r="B38" s="234"/>
      <c r="C38" s="307"/>
      <c r="D38" s="171"/>
      <c r="E38" s="24"/>
      <c r="F38" s="317"/>
      <c r="G38" s="318"/>
      <c r="H38" s="171"/>
      <c r="I38" s="373"/>
      <c r="J38" s="234"/>
      <c r="K38" s="234"/>
      <c r="L38" s="371"/>
      <c r="M38" s="24"/>
    </row>
    <row r="39" spans="1:14" ht="15.75" x14ac:dyDescent="0.2">
      <c r="A39" s="18" t="s">
        <v>381</v>
      </c>
      <c r="B39" s="274"/>
      <c r="C39" s="313"/>
      <c r="D39" s="169"/>
      <c r="E39" s="36"/>
      <c r="F39" s="320"/>
      <c r="G39" s="321"/>
      <c r="H39" s="169"/>
      <c r="I39" s="169"/>
      <c r="J39" s="234"/>
      <c r="K39" s="234"/>
      <c r="L39" s="372"/>
      <c r="M39" s="36"/>
    </row>
    <row r="40" spans="1:14" ht="15.75" x14ac:dyDescent="0.25">
      <c r="A40" s="47"/>
      <c r="B40" s="251"/>
      <c r="C40" s="251"/>
      <c r="D40" s="699"/>
      <c r="E40" s="699"/>
      <c r="F40" s="699"/>
      <c r="G40" s="699"/>
      <c r="H40" s="699"/>
      <c r="I40" s="699"/>
      <c r="J40" s="699"/>
      <c r="K40" s="699"/>
      <c r="L40" s="699"/>
      <c r="M40" s="356"/>
    </row>
    <row r="41" spans="1:14" x14ac:dyDescent="0.2">
      <c r="A41" s="155"/>
    </row>
    <row r="42" spans="1:14" ht="15.75" x14ac:dyDescent="0.25">
      <c r="A42" s="147" t="s">
        <v>279</v>
      </c>
      <c r="B42" s="700"/>
      <c r="C42" s="700"/>
      <c r="D42" s="700"/>
      <c r="E42" s="355"/>
      <c r="F42" s="701"/>
      <c r="G42" s="701"/>
      <c r="H42" s="701"/>
      <c r="I42" s="356"/>
      <c r="J42" s="701"/>
      <c r="K42" s="701"/>
      <c r="L42" s="701"/>
      <c r="M42" s="356"/>
    </row>
    <row r="43" spans="1:14" ht="15.75" x14ac:dyDescent="0.25">
      <c r="A43" s="163"/>
      <c r="B43" s="352"/>
      <c r="C43" s="352"/>
      <c r="D43" s="352"/>
      <c r="E43" s="352"/>
      <c r="F43" s="356"/>
      <c r="G43" s="356"/>
      <c r="H43" s="356"/>
      <c r="I43" s="356"/>
      <c r="J43" s="356"/>
      <c r="K43" s="356"/>
      <c r="L43" s="356"/>
      <c r="M43" s="356"/>
    </row>
    <row r="44" spans="1:14" ht="15.75" x14ac:dyDescent="0.25">
      <c r="A44" s="245"/>
      <c r="B44" s="696" t="s">
        <v>0</v>
      </c>
      <c r="C44" s="697"/>
      <c r="D44" s="697"/>
      <c r="E44" s="241"/>
      <c r="F44" s="356"/>
      <c r="G44" s="356"/>
      <c r="H44" s="356"/>
      <c r="I44" s="356"/>
      <c r="J44" s="356"/>
      <c r="K44" s="356"/>
      <c r="L44" s="356"/>
      <c r="M44" s="356"/>
    </row>
    <row r="45" spans="1:14" s="3" customFormat="1" x14ac:dyDescent="0.2">
      <c r="A45" s="140"/>
      <c r="B45" s="152" t="s">
        <v>422</v>
      </c>
      <c r="C45" s="152" t="s">
        <v>423</v>
      </c>
      <c r="D45" s="162" t="s">
        <v>3</v>
      </c>
      <c r="E45" s="162" t="s">
        <v>29</v>
      </c>
      <c r="F45" s="174"/>
      <c r="G45" s="174"/>
      <c r="H45" s="173"/>
      <c r="I45" s="173"/>
      <c r="J45" s="174"/>
      <c r="K45" s="174"/>
      <c r="L45" s="173"/>
      <c r="M45" s="173"/>
      <c r="N45" s="148"/>
    </row>
    <row r="46" spans="1:14" s="3" customFormat="1" x14ac:dyDescent="0.2">
      <c r="A46" s="666"/>
      <c r="B46" s="242"/>
      <c r="C46" s="242"/>
      <c r="D46" s="243" t="s">
        <v>4</v>
      </c>
      <c r="E46" s="156" t="s">
        <v>30</v>
      </c>
      <c r="F46" s="173"/>
      <c r="G46" s="173"/>
      <c r="H46" s="173"/>
      <c r="I46" s="173"/>
      <c r="J46" s="173"/>
      <c r="K46" s="173"/>
      <c r="L46" s="173"/>
      <c r="M46" s="173"/>
      <c r="N46" s="148"/>
    </row>
    <row r="47" spans="1:14" s="3" customFormat="1" ht="15.75" x14ac:dyDescent="0.2">
      <c r="A47" s="14" t="s">
        <v>23</v>
      </c>
      <c r="B47" s="308">
        <v>4421.3810000000003</v>
      </c>
      <c r="C47" s="309">
        <v>4214.8370000000004</v>
      </c>
      <c r="D47" s="370">
        <f t="shared" ref="D47:D48" si="13">IF(B47=0, "    ---- ", IF(ABS(ROUND(100/B47*C47-100,1))&lt;999,ROUND(100/B47*C47-100,1),IF(ROUND(100/B47*C47-100,1)&gt;999,999,-999)))</f>
        <v>-4.7</v>
      </c>
      <c r="E47" s="11">
        <f>IFERROR(100/'Skjema total MA'!C47*C47,0)</f>
        <v>0.13055073370805773</v>
      </c>
      <c r="F47" s="145"/>
      <c r="G47" s="33"/>
      <c r="H47" s="159"/>
      <c r="I47" s="159"/>
      <c r="J47" s="37"/>
      <c r="K47" s="37"/>
      <c r="L47" s="159"/>
      <c r="M47" s="159"/>
      <c r="N47" s="148"/>
    </row>
    <row r="48" spans="1:14" s="3" customFormat="1" ht="15.75" x14ac:dyDescent="0.2">
      <c r="A48" s="38" t="s">
        <v>382</v>
      </c>
      <c r="B48" s="279">
        <v>4421.3810000000003</v>
      </c>
      <c r="C48" s="280">
        <v>4214.8370000000004</v>
      </c>
      <c r="D48" s="252">
        <f t="shared" si="13"/>
        <v>-4.7</v>
      </c>
      <c r="E48" s="27">
        <f>IFERROR(100/'Skjema total MA'!C48*C48,0)</f>
        <v>0.23196444602682484</v>
      </c>
      <c r="F48" s="145"/>
      <c r="G48" s="33"/>
      <c r="H48" s="145"/>
      <c r="I48" s="145"/>
      <c r="J48" s="33"/>
      <c r="K48" s="33"/>
      <c r="L48" s="159"/>
      <c r="M48" s="159"/>
      <c r="N48" s="148"/>
    </row>
    <row r="49" spans="1:14" s="3" customFormat="1" ht="15.75" x14ac:dyDescent="0.2">
      <c r="A49" s="38" t="s">
        <v>383</v>
      </c>
      <c r="B49" s="44"/>
      <c r="C49" s="285"/>
      <c r="D49" s="252"/>
      <c r="E49" s="27"/>
      <c r="F49" s="145"/>
      <c r="G49" s="33"/>
      <c r="H49" s="145"/>
      <c r="I49" s="145"/>
      <c r="J49" s="37"/>
      <c r="K49" s="37"/>
      <c r="L49" s="159"/>
      <c r="M49" s="159"/>
      <c r="N49" s="148"/>
    </row>
    <row r="50" spans="1:14" s="3" customFormat="1" x14ac:dyDescent="0.2">
      <c r="A50" s="294" t="s">
        <v>6</v>
      </c>
      <c r="B50" s="288"/>
      <c r="C50" s="289"/>
      <c r="D50" s="252"/>
      <c r="E50" s="23"/>
      <c r="F50" s="145"/>
      <c r="G50" s="33"/>
      <c r="H50" s="145"/>
      <c r="I50" s="145"/>
      <c r="J50" s="33"/>
      <c r="K50" s="33"/>
      <c r="L50" s="159"/>
      <c r="M50" s="159"/>
      <c r="N50" s="148"/>
    </row>
    <row r="51" spans="1:14" s="3" customFormat="1" x14ac:dyDescent="0.2">
      <c r="A51" s="294" t="s">
        <v>7</v>
      </c>
      <c r="B51" s="288"/>
      <c r="C51" s="289"/>
      <c r="D51" s="252"/>
      <c r="E51" s="23"/>
      <c r="F51" s="145"/>
      <c r="G51" s="33"/>
      <c r="H51" s="145"/>
      <c r="I51" s="145"/>
      <c r="J51" s="33"/>
      <c r="K51" s="33"/>
      <c r="L51" s="159"/>
      <c r="M51" s="159"/>
      <c r="N51" s="148"/>
    </row>
    <row r="52" spans="1:14" s="3" customFormat="1" x14ac:dyDescent="0.2">
      <c r="A52" s="294" t="s">
        <v>8</v>
      </c>
      <c r="B52" s="288"/>
      <c r="C52" s="289"/>
      <c r="D52" s="252"/>
      <c r="E52" s="23"/>
      <c r="F52" s="145"/>
      <c r="G52" s="33"/>
      <c r="H52" s="145"/>
      <c r="I52" s="145"/>
      <c r="J52" s="33"/>
      <c r="K52" s="33"/>
      <c r="L52" s="159"/>
      <c r="M52" s="159"/>
      <c r="N52" s="148"/>
    </row>
    <row r="53" spans="1:14" s="3" customFormat="1" ht="15.75" x14ac:dyDescent="0.2">
      <c r="A53" s="39" t="s">
        <v>384</v>
      </c>
      <c r="B53" s="308"/>
      <c r="C53" s="309"/>
      <c r="D53" s="371"/>
      <c r="E53" s="11"/>
      <c r="F53" s="145"/>
      <c r="G53" s="33"/>
      <c r="H53" s="145"/>
      <c r="I53" s="145"/>
      <c r="J53" s="33"/>
      <c r="K53" s="33"/>
      <c r="L53" s="159"/>
      <c r="M53" s="159"/>
      <c r="N53" s="148"/>
    </row>
    <row r="54" spans="1:14" s="3" customFormat="1" ht="15.75" x14ac:dyDescent="0.2">
      <c r="A54" s="38" t="s">
        <v>382</v>
      </c>
      <c r="B54" s="279"/>
      <c r="C54" s="280"/>
      <c r="D54" s="252"/>
      <c r="E54" s="27"/>
      <c r="F54" s="145"/>
      <c r="G54" s="33"/>
      <c r="H54" s="145"/>
      <c r="I54" s="145"/>
      <c r="J54" s="33"/>
      <c r="K54" s="33"/>
      <c r="L54" s="159"/>
      <c r="M54" s="159"/>
      <c r="N54" s="148"/>
    </row>
    <row r="55" spans="1:14" s="3" customFormat="1" ht="15.75" x14ac:dyDescent="0.2">
      <c r="A55" s="38" t="s">
        <v>383</v>
      </c>
      <c r="B55" s="279"/>
      <c r="C55" s="280"/>
      <c r="D55" s="252"/>
      <c r="E55" s="27"/>
      <c r="F55" s="145"/>
      <c r="G55" s="33"/>
      <c r="H55" s="145"/>
      <c r="I55" s="145"/>
      <c r="J55" s="33"/>
      <c r="K55" s="33"/>
      <c r="L55" s="159"/>
      <c r="M55" s="159"/>
      <c r="N55" s="148"/>
    </row>
    <row r="56" spans="1:14" s="3" customFormat="1" ht="15.75" x14ac:dyDescent="0.2">
      <c r="A56" s="39" t="s">
        <v>385</v>
      </c>
      <c r="B56" s="308"/>
      <c r="C56" s="309"/>
      <c r="D56" s="371"/>
      <c r="E56" s="11"/>
      <c r="F56" s="145"/>
      <c r="G56" s="33"/>
      <c r="H56" s="145"/>
      <c r="I56" s="145"/>
      <c r="J56" s="33"/>
      <c r="K56" s="33"/>
      <c r="L56" s="159"/>
      <c r="M56" s="159"/>
      <c r="N56" s="148"/>
    </row>
    <row r="57" spans="1:14" s="3" customFormat="1" ht="15.75" x14ac:dyDescent="0.2">
      <c r="A57" s="38" t="s">
        <v>382</v>
      </c>
      <c r="B57" s="279"/>
      <c r="C57" s="280"/>
      <c r="D57" s="252"/>
      <c r="E57" s="27"/>
      <c r="F57" s="145"/>
      <c r="G57" s="33"/>
      <c r="H57" s="145"/>
      <c r="I57" s="145"/>
      <c r="J57" s="33"/>
      <c r="K57" s="33"/>
      <c r="L57" s="159"/>
      <c r="M57" s="159"/>
      <c r="N57" s="148"/>
    </row>
    <row r="58" spans="1:14" s="3" customFormat="1" ht="15.75" x14ac:dyDescent="0.2">
      <c r="A58" s="46" t="s">
        <v>383</v>
      </c>
      <c r="B58" s="281"/>
      <c r="C58" s="282"/>
      <c r="D58" s="253"/>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95"/>
      <c r="C62" s="695"/>
      <c r="D62" s="695"/>
      <c r="E62" s="355"/>
      <c r="F62" s="695"/>
      <c r="G62" s="695"/>
      <c r="H62" s="695"/>
      <c r="I62" s="355"/>
      <c r="J62" s="695"/>
      <c r="K62" s="695"/>
      <c r="L62" s="695"/>
      <c r="M62" s="355"/>
    </row>
    <row r="63" spans="1:14" x14ac:dyDescent="0.2">
      <c r="A63" s="144"/>
      <c r="B63" s="696" t="s">
        <v>0</v>
      </c>
      <c r="C63" s="697"/>
      <c r="D63" s="698"/>
      <c r="E63" s="353"/>
      <c r="F63" s="697" t="s">
        <v>1</v>
      </c>
      <c r="G63" s="697"/>
      <c r="H63" s="697"/>
      <c r="I63" s="357"/>
      <c r="J63" s="696" t="s">
        <v>2</v>
      </c>
      <c r="K63" s="697"/>
      <c r="L63" s="697"/>
      <c r="M63" s="357"/>
    </row>
    <row r="64" spans="1:14" x14ac:dyDescent="0.2">
      <c r="A64" s="140"/>
      <c r="B64" s="152" t="s">
        <v>422</v>
      </c>
      <c r="C64" s="152" t="s">
        <v>423</v>
      </c>
      <c r="D64" s="243" t="s">
        <v>3</v>
      </c>
      <c r="E64" s="303" t="s">
        <v>29</v>
      </c>
      <c r="F64" s="152" t="s">
        <v>422</v>
      </c>
      <c r="G64" s="152" t="s">
        <v>423</v>
      </c>
      <c r="H64" s="243" t="s">
        <v>3</v>
      </c>
      <c r="I64" s="303" t="s">
        <v>29</v>
      </c>
      <c r="J64" s="152" t="s">
        <v>422</v>
      </c>
      <c r="K64" s="152" t="s">
        <v>423</v>
      </c>
      <c r="L64" s="243" t="s">
        <v>3</v>
      </c>
      <c r="M64" s="162" t="s">
        <v>29</v>
      </c>
    </row>
    <row r="65" spans="1:14" x14ac:dyDescent="0.2">
      <c r="A65" s="666"/>
      <c r="B65" s="156"/>
      <c r="C65" s="156"/>
      <c r="D65" s="244" t="s">
        <v>4</v>
      </c>
      <c r="E65" s="156" t="s">
        <v>30</v>
      </c>
      <c r="F65" s="161"/>
      <c r="G65" s="161"/>
      <c r="H65" s="243" t="s">
        <v>4</v>
      </c>
      <c r="I65" s="156" t="s">
        <v>30</v>
      </c>
      <c r="J65" s="161"/>
      <c r="K65" s="205"/>
      <c r="L65" s="156" t="s">
        <v>4</v>
      </c>
      <c r="M65" s="156" t="s">
        <v>30</v>
      </c>
    </row>
    <row r="66" spans="1:14" ht="15.75" x14ac:dyDescent="0.2">
      <c r="A66" s="14" t="s">
        <v>23</v>
      </c>
      <c r="B66" s="350">
        <v>55287.264999999999</v>
      </c>
      <c r="C66" s="350">
        <v>58675.042000000001</v>
      </c>
      <c r="D66" s="347">
        <f t="shared" ref="D66:D124" si="14">IF(B66=0, "    ---- ", IF(ABS(ROUND(100/B66*C66-100,1))&lt;999,ROUND(100/B66*C66-100,1),IF(ROUND(100/B66*C66-100,1)&gt;999,999,-999)))</f>
        <v>6.1</v>
      </c>
      <c r="E66" s="11">
        <f>IFERROR(100/'Skjema total MA'!C66*C66,0)</f>
        <v>1.0923613787497899</v>
      </c>
      <c r="F66" s="349">
        <v>715992.84400000004</v>
      </c>
      <c r="G66" s="349">
        <v>796114</v>
      </c>
      <c r="H66" s="347">
        <f t="shared" ref="H66:H125" si="15">IF(F66=0, "    ---- ", IF(ABS(ROUND(100/F66*G66-100,1))&lt;999,ROUND(100/F66*G66-100,1),IF(ROUND(100/F66*G66-100,1)&gt;999,999,-999)))</f>
        <v>11.2</v>
      </c>
      <c r="I66" s="11">
        <f>IFERROR(100/'Skjema total MA'!F66*G66,0)</f>
        <v>5.0631454955512751</v>
      </c>
      <c r="J66" s="307">
        <f t="shared" ref="J66:K79" si="16">SUM(B66,F66)</f>
        <v>771280.10900000005</v>
      </c>
      <c r="K66" s="314">
        <f t="shared" si="16"/>
        <v>854789.04200000002</v>
      </c>
      <c r="L66" s="371">
        <f t="shared" ref="L66:L125" si="17">IF(J66=0, "    ---- ", IF(ABS(ROUND(100/J66*K66-100,1))&lt;999,ROUND(100/J66*K66-100,1),IF(ROUND(100/J66*K66-100,1)&gt;999,999,-999)))</f>
        <v>10.8</v>
      </c>
      <c r="M66" s="11">
        <f>IFERROR(100/'Skjema total MA'!I66*K66,0)</f>
        <v>4.0520741801259508</v>
      </c>
    </row>
    <row r="67" spans="1:14" x14ac:dyDescent="0.2">
      <c r="A67" s="21" t="s">
        <v>9</v>
      </c>
      <c r="B67" s="44">
        <v>55287.264999999999</v>
      </c>
      <c r="C67" s="145">
        <v>58675.042000000001</v>
      </c>
      <c r="D67" s="166">
        <f t="shared" si="14"/>
        <v>6.1</v>
      </c>
      <c r="E67" s="27">
        <f>IFERROR(100/'Skjema total MA'!C67*C67,0)</f>
        <v>1.4057202073265775</v>
      </c>
      <c r="F67" s="232"/>
      <c r="G67" s="145"/>
      <c r="H67" s="166"/>
      <c r="I67" s="27"/>
      <c r="J67" s="285">
        <f t="shared" si="16"/>
        <v>55287.264999999999</v>
      </c>
      <c r="K67" s="44">
        <f t="shared" si="16"/>
        <v>58675.042000000001</v>
      </c>
      <c r="L67" s="252">
        <f t="shared" si="17"/>
        <v>6.1</v>
      </c>
      <c r="M67" s="27">
        <f>IFERROR(100/'Skjema total MA'!I67*K67,0)</f>
        <v>1.4057202073265775</v>
      </c>
    </row>
    <row r="68" spans="1:14" x14ac:dyDescent="0.2">
      <c r="A68" s="21" t="s">
        <v>10</v>
      </c>
      <c r="B68" s="290"/>
      <c r="C68" s="291"/>
      <c r="D68" s="166"/>
      <c r="E68" s="27"/>
      <c r="F68" s="290">
        <v>715992.84400000004</v>
      </c>
      <c r="G68" s="291">
        <v>796114</v>
      </c>
      <c r="H68" s="166">
        <f t="shared" si="15"/>
        <v>11.2</v>
      </c>
      <c r="I68" s="27">
        <f>IFERROR(100/'Skjema total MA'!F68*G68,0)</f>
        <v>5.1311923042269756</v>
      </c>
      <c r="J68" s="285">
        <f t="shared" si="16"/>
        <v>715992.84400000004</v>
      </c>
      <c r="K68" s="44">
        <f t="shared" si="16"/>
        <v>796114</v>
      </c>
      <c r="L68" s="252">
        <f t="shared" si="17"/>
        <v>11.2</v>
      </c>
      <c r="M68" s="27">
        <f>IFERROR(100/'Skjema total MA'!I68*K68,0)</f>
        <v>5.0939416245298901</v>
      </c>
    </row>
    <row r="69" spans="1:14" ht="15.75" x14ac:dyDescent="0.2">
      <c r="A69" s="294" t="s">
        <v>386</v>
      </c>
      <c r="B69" s="279"/>
      <c r="C69" s="279"/>
      <c r="D69" s="166"/>
      <c r="E69" s="363"/>
      <c r="F69" s="279"/>
      <c r="G69" s="279"/>
      <c r="H69" s="166"/>
      <c r="I69" s="363"/>
      <c r="J69" s="288"/>
      <c r="K69" s="288"/>
      <c r="L69" s="166"/>
      <c r="M69" s="23"/>
    </row>
    <row r="70" spans="1:14" x14ac:dyDescent="0.2">
      <c r="A70" s="294" t="s">
        <v>12</v>
      </c>
      <c r="B70" s="292"/>
      <c r="C70" s="293"/>
      <c r="D70" s="166"/>
      <c r="E70" s="363"/>
      <c r="F70" s="279"/>
      <c r="G70" s="279"/>
      <c r="H70" s="166"/>
      <c r="I70" s="363"/>
      <c r="J70" s="288"/>
      <c r="K70" s="288"/>
      <c r="L70" s="166"/>
      <c r="M70" s="23"/>
    </row>
    <row r="71" spans="1:14" x14ac:dyDescent="0.2">
      <c r="A71" s="294" t="s">
        <v>13</v>
      </c>
      <c r="B71" s="233"/>
      <c r="C71" s="287"/>
      <c r="D71" s="166"/>
      <c r="E71" s="363"/>
      <c r="F71" s="279"/>
      <c r="G71" s="279"/>
      <c r="H71" s="166"/>
      <c r="I71" s="363"/>
      <c r="J71" s="288"/>
      <c r="K71" s="288"/>
      <c r="L71" s="166"/>
      <c r="M71" s="23"/>
    </row>
    <row r="72" spans="1:14" ht="15.75" x14ac:dyDescent="0.2">
      <c r="A72" s="294" t="s">
        <v>387</v>
      </c>
      <c r="B72" s="279"/>
      <c r="C72" s="279"/>
      <c r="D72" s="166"/>
      <c r="E72" s="363"/>
      <c r="F72" s="279"/>
      <c r="G72" s="279"/>
      <c r="H72" s="166"/>
      <c r="I72" s="363"/>
      <c r="J72" s="288"/>
      <c r="K72" s="288"/>
      <c r="L72" s="166"/>
      <c r="M72" s="23"/>
    </row>
    <row r="73" spans="1:14" x14ac:dyDescent="0.2">
      <c r="A73" s="294" t="s">
        <v>12</v>
      </c>
      <c r="B73" s="233"/>
      <c r="C73" s="287"/>
      <c r="D73" s="166"/>
      <c r="E73" s="363"/>
      <c r="F73" s="279"/>
      <c r="G73" s="279"/>
      <c r="H73" s="166"/>
      <c r="I73" s="363"/>
      <c r="J73" s="288"/>
      <c r="K73" s="288"/>
      <c r="L73" s="166"/>
      <c r="M73" s="23"/>
    </row>
    <row r="74" spans="1:14" s="3" customFormat="1" x14ac:dyDescent="0.2">
      <c r="A74" s="294" t="s">
        <v>13</v>
      </c>
      <c r="B74" s="233"/>
      <c r="C74" s="287"/>
      <c r="D74" s="166"/>
      <c r="E74" s="363"/>
      <c r="F74" s="279"/>
      <c r="G74" s="279"/>
      <c r="H74" s="166"/>
      <c r="I74" s="363"/>
      <c r="J74" s="288"/>
      <c r="K74" s="288"/>
      <c r="L74" s="166"/>
      <c r="M74" s="23"/>
      <c r="N74" s="148"/>
    </row>
    <row r="75" spans="1:14" s="3" customFormat="1" x14ac:dyDescent="0.2">
      <c r="A75" s="21" t="s">
        <v>356</v>
      </c>
      <c r="B75" s="232"/>
      <c r="C75" s="145"/>
      <c r="D75" s="166"/>
      <c r="E75" s="27"/>
      <c r="F75" s="232"/>
      <c r="G75" s="145"/>
      <c r="H75" s="166"/>
      <c r="I75" s="27"/>
      <c r="J75" s="285"/>
      <c r="K75" s="44"/>
      <c r="L75" s="252"/>
      <c r="M75" s="27"/>
      <c r="N75" s="148"/>
    </row>
    <row r="76" spans="1:14" s="3" customFormat="1" x14ac:dyDescent="0.2">
      <c r="A76" s="21" t="s">
        <v>355</v>
      </c>
      <c r="B76" s="232"/>
      <c r="C76" s="145"/>
      <c r="D76" s="166"/>
      <c r="E76" s="27"/>
      <c r="F76" s="232"/>
      <c r="G76" s="145"/>
      <c r="H76" s="166"/>
      <c r="I76" s="27"/>
      <c r="J76" s="285"/>
      <c r="K76" s="44"/>
      <c r="L76" s="252"/>
      <c r="M76" s="27"/>
      <c r="N76" s="148"/>
    </row>
    <row r="77" spans="1:14" ht="15.75" x14ac:dyDescent="0.2">
      <c r="A77" s="21" t="s">
        <v>388</v>
      </c>
      <c r="B77" s="232">
        <v>55287.264999999999</v>
      </c>
      <c r="C77" s="232">
        <v>58675.042000000001</v>
      </c>
      <c r="D77" s="166">
        <f t="shared" si="14"/>
        <v>6.1</v>
      </c>
      <c r="E77" s="27">
        <f>IFERROR(100/'Skjema total MA'!C77*C77,0)</f>
        <v>1.3892142116674679</v>
      </c>
      <c r="F77" s="232">
        <v>715992.84400000004</v>
      </c>
      <c r="G77" s="145">
        <v>796114</v>
      </c>
      <c r="H77" s="166">
        <f t="shared" si="15"/>
        <v>11.2</v>
      </c>
      <c r="I77" s="27">
        <f>IFERROR(100/'Skjema total MA'!F77*G77,0)</f>
        <v>5.1334195728935539</v>
      </c>
      <c r="J77" s="285">
        <f t="shared" si="16"/>
        <v>771280.10900000005</v>
      </c>
      <c r="K77" s="44">
        <f t="shared" si="16"/>
        <v>854789.04200000002</v>
      </c>
      <c r="L77" s="252">
        <f t="shared" si="17"/>
        <v>10.8</v>
      </c>
      <c r="M77" s="27">
        <f>IFERROR(100/'Skjema total MA'!I77*K77,0)</f>
        <v>4.3319791180173253</v>
      </c>
    </row>
    <row r="78" spans="1:14" x14ac:dyDescent="0.2">
      <c r="A78" s="21" t="s">
        <v>9</v>
      </c>
      <c r="B78" s="232">
        <v>55287.264999999999</v>
      </c>
      <c r="C78" s="145">
        <v>58675.042000000001</v>
      </c>
      <c r="D78" s="166">
        <f t="shared" si="14"/>
        <v>6.1</v>
      </c>
      <c r="E78" s="27">
        <f>IFERROR(100/'Skjema total MA'!C78*C78,0)</f>
        <v>1.4268401290255155</v>
      </c>
      <c r="F78" s="232"/>
      <c r="G78" s="145"/>
      <c r="H78" s="166"/>
      <c r="I78" s="27"/>
      <c r="J78" s="285">
        <f t="shared" si="16"/>
        <v>55287.264999999999</v>
      </c>
      <c r="K78" s="44">
        <f t="shared" si="16"/>
        <v>58675.042000000001</v>
      </c>
      <c r="L78" s="252">
        <f t="shared" si="17"/>
        <v>6.1</v>
      </c>
      <c r="M78" s="27">
        <f>IFERROR(100/'Skjema total MA'!I78*K78,0)</f>
        <v>1.4268401290255155</v>
      </c>
    </row>
    <row r="79" spans="1:14" x14ac:dyDescent="0.2">
      <c r="A79" s="21" t="s">
        <v>10</v>
      </c>
      <c r="B79" s="290"/>
      <c r="C79" s="291"/>
      <c r="D79" s="166"/>
      <c r="E79" s="27"/>
      <c r="F79" s="290">
        <v>715992.84400000004</v>
      </c>
      <c r="G79" s="291">
        <v>796114</v>
      </c>
      <c r="H79" s="166">
        <f t="shared" si="15"/>
        <v>11.2</v>
      </c>
      <c r="I79" s="27">
        <f>IFERROR(100/'Skjema total MA'!F79*G79,0)</f>
        <v>5.1334195728935539</v>
      </c>
      <c r="J79" s="285">
        <f t="shared" si="16"/>
        <v>715992.84400000004</v>
      </c>
      <c r="K79" s="44">
        <f t="shared" si="16"/>
        <v>796114</v>
      </c>
      <c r="L79" s="252">
        <f t="shared" si="17"/>
        <v>11.2</v>
      </c>
      <c r="M79" s="27">
        <f>IFERROR(100/'Skjema total MA'!I79*K79,0)</f>
        <v>5.0968157530554041</v>
      </c>
    </row>
    <row r="80" spans="1:14" ht="15.75" x14ac:dyDescent="0.2">
      <c r="A80" s="294" t="s">
        <v>386</v>
      </c>
      <c r="B80" s="279"/>
      <c r="C80" s="279"/>
      <c r="D80" s="166"/>
      <c r="E80" s="363"/>
      <c r="F80" s="279"/>
      <c r="G80" s="279"/>
      <c r="H80" s="166"/>
      <c r="I80" s="363"/>
      <c r="J80" s="288"/>
      <c r="K80" s="288"/>
      <c r="L80" s="166"/>
      <c r="M80" s="23"/>
    </row>
    <row r="81" spans="1:13" x14ac:dyDescent="0.2">
      <c r="A81" s="294" t="s">
        <v>12</v>
      </c>
      <c r="B81" s="233"/>
      <c r="C81" s="287"/>
      <c r="D81" s="166"/>
      <c r="E81" s="363"/>
      <c r="F81" s="279"/>
      <c r="G81" s="279"/>
      <c r="H81" s="166"/>
      <c r="I81" s="363"/>
      <c r="J81" s="288"/>
      <c r="K81" s="288"/>
      <c r="L81" s="166"/>
      <c r="M81" s="23"/>
    </row>
    <row r="82" spans="1:13" x14ac:dyDescent="0.2">
      <c r="A82" s="294" t="s">
        <v>13</v>
      </c>
      <c r="B82" s="233"/>
      <c r="C82" s="287"/>
      <c r="D82" s="166"/>
      <c r="E82" s="363"/>
      <c r="F82" s="279"/>
      <c r="G82" s="279"/>
      <c r="H82" s="166"/>
      <c r="I82" s="363"/>
      <c r="J82" s="288"/>
      <c r="K82" s="288"/>
      <c r="L82" s="166"/>
      <c r="M82" s="23"/>
    </row>
    <row r="83" spans="1:13" ht="15.75" x14ac:dyDescent="0.2">
      <c r="A83" s="294" t="s">
        <v>387</v>
      </c>
      <c r="B83" s="279"/>
      <c r="C83" s="279"/>
      <c r="D83" s="166"/>
      <c r="E83" s="363"/>
      <c r="F83" s="279"/>
      <c r="G83" s="279"/>
      <c r="H83" s="166"/>
      <c r="I83" s="363"/>
      <c r="J83" s="288"/>
      <c r="K83" s="288"/>
      <c r="L83" s="166"/>
      <c r="M83" s="23"/>
    </row>
    <row r="84" spans="1:13" x14ac:dyDescent="0.2">
      <c r="A84" s="294" t="s">
        <v>12</v>
      </c>
      <c r="B84" s="233"/>
      <c r="C84" s="287"/>
      <c r="D84" s="166"/>
      <c r="E84" s="363"/>
      <c r="F84" s="279"/>
      <c r="G84" s="279"/>
      <c r="H84" s="166"/>
      <c r="I84" s="363"/>
      <c r="J84" s="288"/>
      <c r="K84" s="288"/>
      <c r="L84" s="166"/>
      <c r="M84" s="23"/>
    </row>
    <row r="85" spans="1:13" x14ac:dyDescent="0.2">
      <c r="A85" s="294" t="s">
        <v>13</v>
      </c>
      <c r="B85" s="233"/>
      <c r="C85" s="287"/>
      <c r="D85" s="166"/>
      <c r="E85" s="363"/>
      <c r="F85" s="279"/>
      <c r="G85" s="279"/>
      <c r="H85" s="166"/>
      <c r="I85" s="363"/>
      <c r="J85" s="288"/>
      <c r="K85" s="288"/>
      <c r="L85" s="166"/>
      <c r="M85" s="23"/>
    </row>
    <row r="86" spans="1:13" ht="15.75" x14ac:dyDescent="0.2">
      <c r="A86" s="21" t="s">
        <v>389</v>
      </c>
      <c r="B86" s="232"/>
      <c r="C86" s="145"/>
      <c r="D86" s="166"/>
      <c r="E86" s="27"/>
      <c r="F86" s="232"/>
      <c r="G86" s="145"/>
      <c r="H86" s="166"/>
      <c r="I86" s="27"/>
      <c r="J86" s="285"/>
      <c r="K86" s="44"/>
      <c r="L86" s="252"/>
      <c r="M86" s="27"/>
    </row>
    <row r="87" spans="1:13" ht="15.75" x14ac:dyDescent="0.2">
      <c r="A87" s="13" t="s">
        <v>371</v>
      </c>
      <c r="B87" s="350">
        <v>641414.54700000002</v>
      </c>
      <c r="C87" s="350">
        <v>722269.95200000005</v>
      </c>
      <c r="D87" s="171">
        <f t="shared" si="14"/>
        <v>12.6</v>
      </c>
      <c r="E87" s="11">
        <f>IFERROR(100/'Skjema total MA'!C87*C87,0)</f>
        <v>0.18525171887822309</v>
      </c>
      <c r="F87" s="349">
        <v>12525546.199999999</v>
      </c>
      <c r="G87" s="349">
        <v>14332921.374</v>
      </c>
      <c r="H87" s="171">
        <f t="shared" si="15"/>
        <v>14.4</v>
      </c>
      <c r="I87" s="11">
        <f>IFERROR(100/'Skjema total MA'!F87*G87,0)</f>
        <v>5.0497489268917688</v>
      </c>
      <c r="J87" s="307">
        <f t="shared" ref="J87:K111" si="18">SUM(B87,F87)</f>
        <v>13166960.747</v>
      </c>
      <c r="K87" s="234">
        <f t="shared" si="18"/>
        <v>15055191.325999999</v>
      </c>
      <c r="L87" s="371">
        <f t="shared" si="17"/>
        <v>14.3</v>
      </c>
      <c r="M87" s="11">
        <f>IFERROR(100/'Skjema total MA'!I87*K87,0)</f>
        <v>2.2346361414735822</v>
      </c>
    </row>
    <row r="88" spans="1:13" x14ac:dyDescent="0.2">
      <c r="A88" s="21" t="s">
        <v>9</v>
      </c>
      <c r="B88" s="232">
        <v>641414.54700000002</v>
      </c>
      <c r="C88" s="145">
        <v>722269.95200000005</v>
      </c>
      <c r="D88" s="166">
        <f t="shared" si="14"/>
        <v>12.6</v>
      </c>
      <c r="E88" s="27">
        <f>IFERROR(100/'Skjema total MA'!C88*C88,0)</f>
        <v>0.18967339185780518</v>
      </c>
      <c r="F88" s="232"/>
      <c r="G88" s="145"/>
      <c r="H88" s="166"/>
      <c r="I88" s="27"/>
      <c r="J88" s="285">
        <f t="shared" si="18"/>
        <v>641414.54700000002</v>
      </c>
      <c r="K88" s="44">
        <f t="shared" si="18"/>
        <v>722269.95200000005</v>
      </c>
      <c r="L88" s="252">
        <f t="shared" si="17"/>
        <v>12.6</v>
      </c>
      <c r="M88" s="27">
        <f>IFERROR(100/'Skjema total MA'!I88*K88,0)</f>
        <v>0.18967339185780518</v>
      </c>
    </row>
    <row r="89" spans="1:13" x14ac:dyDescent="0.2">
      <c r="A89" s="21" t="s">
        <v>10</v>
      </c>
      <c r="B89" s="232"/>
      <c r="C89" s="145"/>
      <c r="D89" s="166"/>
      <c r="E89" s="27"/>
      <c r="F89" s="232">
        <v>12525546.199999999</v>
      </c>
      <c r="G89" s="145">
        <v>14332921.374</v>
      </c>
      <c r="H89" s="166">
        <f t="shared" si="15"/>
        <v>14.4</v>
      </c>
      <c r="I89" s="27">
        <f>IFERROR(100/'Skjema total MA'!F89*G89,0)</f>
        <v>5.0729982049446747</v>
      </c>
      <c r="J89" s="285">
        <f t="shared" si="18"/>
        <v>12525546.199999999</v>
      </c>
      <c r="K89" s="44">
        <f t="shared" si="18"/>
        <v>14332921.374</v>
      </c>
      <c r="L89" s="252">
        <f t="shared" si="17"/>
        <v>14.4</v>
      </c>
      <c r="M89" s="27">
        <f>IFERROR(100/'Skjema total MA'!I89*K89,0)</f>
        <v>5.0210656122027002</v>
      </c>
    </row>
    <row r="90" spans="1:13" ht="15.75" x14ac:dyDescent="0.2">
      <c r="A90" s="294" t="s">
        <v>386</v>
      </c>
      <c r="B90" s="279"/>
      <c r="C90" s="279"/>
      <c r="D90" s="166"/>
      <c r="E90" s="363"/>
      <c r="F90" s="279"/>
      <c r="G90" s="279"/>
      <c r="H90" s="166"/>
      <c r="I90" s="363"/>
      <c r="J90" s="288"/>
      <c r="K90" s="288"/>
      <c r="L90" s="166"/>
      <c r="M90" s="23"/>
    </row>
    <row r="91" spans="1:13" x14ac:dyDescent="0.2">
      <c r="A91" s="294" t="s">
        <v>12</v>
      </c>
      <c r="B91" s="233"/>
      <c r="C91" s="287"/>
      <c r="D91" s="166"/>
      <c r="E91" s="363"/>
      <c r="F91" s="279"/>
      <c r="G91" s="279"/>
      <c r="H91" s="166"/>
      <c r="I91" s="363"/>
      <c r="J91" s="288"/>
      <c r="K91" s="288"/>
      <c r="L91" s="166"/>
      <c r="M91" s="23"/>
    </row>
    <row r="92" spans="1:13" x14ac:dyDescent="0.2">
      <c r="A92" s="294" t="s">
        <v>13</v>
      </c>
      <c r="B92" s="233"/>
      <c r="C92" s="287"/>
      <c r="D92" s="166"/>
      <c r="E92" s="363"/>
      <c r="F92" s="279"/>
      <c r="G92" s="279"/>
      <c r="H92" s="166"/>
      <c r="I92" s="363"/>
      <c r="J92" s="288"/>
      <c r="K92" s="288"/>
      <c r="L92" s="166"/>
      <c r="M92" s="23"/>
    </row>
    <row r="93" spans="1:13" ht="15.75" x14ac:dyDescent="0.2">
      <c r="A93" s="294" t="s">
        <v>387</v>
      </c>
      <c r="B93" s="279"/>
      <c r="C93" s="279"/>
      <c r="D93" s="166"/>
      <c r="E93" s="363"/>
      <c r="F93" s="279"/>
      <c r="G93" s="279"/>
      <c r="H93" s="166"/>
      <c r="I93" s="363"/>
      <c r="J93" s="288"/>
      <c r="K93" s="288"/>
      <c r="L93" s="166"/>
      <c r="M93" s="23"/>
    </row>
    <row r="94" spans="1:13" x14ac:dyDescent="0.2">
      <c r="A94" s="294" t="s">
        <v>12</v>
      </c>
      <c r="B94" s="233"/>
      <c r="C94" s="287"/>
      <c r="D94" s="166"/>
      <c r="E94" s="363"/>
      <c r="F94" s="279"/>
      <c r="G94" s="279"/>
      <c r="H94" s="166"/>
      <c r="I94" s="363"/>
      <c r="J94" s="288"/>
      <c r="K94" s="288"/>
      <c r="L94" s="166"/>
      <c r="M94" s="23"/>
    </row>
    <row r="95" spans="1:13" x14ac:dyDescent="0.2">
      <c r="A95" s="294" t="s">
        <v>13</v>
      </c>
      <c r="B95" s="233"/>
      <c r="C95" s="287"/>
      <c r="D95" s="166"/>
      <c r="E95" s="363"/>
      <c r="F95" s="279"/>
      <c r="G95" s="279"/>
      <c r="H95" s="166"/>
      <c r="I95" s="363"/>
      <c r="J95" s="288"/>
      <c r="K95" s="288"/>
      <c r="L95" s="166"/>
      <c r="M95" s="23"/>
    </row>
    <row r="96" spans="1:13" x14ac:dyDescent="0.2">
      <c r="A96" s="21" t="s">
        <v>354</v>
      </c>
      <c r="B96" s="232"/>
      <c r="C96" s="145"/>
      <c r="D96" s="166"/>
      <c r="E96" s="27"/>
      <c r="F96" s="232"/>
      <c r="G96" s="145"/>
      <c r="H96" s="166"/>
      <c r="I96" s="27"/>
      <c r="J96" s="285"/>
      <c r="K96" s="44"/>
      <c r="L96" s="252"/>
      <c r="M96" s="27"/>
    </row>
    <row r="97" spans="1:13" x14ac:dyDescent="0.2">
      <c r="A97" s="21" t="s">
        <v>353</v>
      </c>
      <c r="B97" s="232"/>
      <c r="C97" s="145"/>
      <c r="D97" s="166"/>
      <c r="E97" s="27"/>
      <c r="F97" s="232"/>
      <c r="G97" s="145"/>
      <c r="H97" s="166"/>
      <c r="I97" s="27"/>
      <c r="J97" s="285"/>
      <c r="K97" s="44"/>
      <c r="L97" s="252"/>
      <c r="M97" s="27"/>
    </row>
    <row r="98" spans="1:13" ht="15.75" x14ac:dyDescent="0.2">
      <c r="A98" s="21" t="s">
        <v>388</v>
      </c>
      <c r="B98" s="232">
        <v>641414.54700000002</v>
      </c>
      <c r="C98" s="232">
        <v>722269.95200000005</v>
      </c>
      <c r="D98" s="166">
        <f t="shared" si="14"/>
        <v>12.6</v>
      </c>
      <c r="E98" s="27">
        <f>IFERROR(100/'Skjema total MA'!C98*C98,0)</f>
        <v>0.19058486678603956</v>
      </c>
      <c r="F98" s="290">
        <v>12525546.199999999</v>
      </c>
      <c r="G98" s="290">
        <v>14332921.374</v>
      </c>
      <c r="H98" s="166">
        <f t="shared" si="15"/>
        <v>14.4</v>
      </c>
      <c r="I98" s="27">
        <f>IFERROR(100/'Skjema total MA'!F98*G98,0)</f>
        <v>5.0870816856478065</v>
      </c>
      <c r="J98" s="285">
        <f t="shared" si="18"/>
        <v>13166960.747</v>
      </c>
      <c r="K98" s="44">
        <f t="shared" si="18"/>
        <v>15055191.325999999</v>
      </c>
      <c r="L98" s="252">
        <f t="shared" si="17"/>
        <v>14.3</v>
      </c>
      <c r="M98" s="27">
        <f>IFERROR(100/'Skjema total MA'!I98*K98,0)</f>
        <v>2.2785802184280377</v>
      </c>
    </row>
    <row r="99" spans="1:13" x14ac:dyDescent="0.2">
      <c r="A99" s="21" t="s">
        <v>9</v>
      </c>
      <c r="B99" s="290">
        <v>641414.54700000002</v>
      </c>
      <c r="C99" s="291">
        <v>722269.95200000005</v>
      </c>
      <c r="D99" s="166">
        <f t="shared" si="14"/>
        <v>12.6</v>
      </c>
      <c r="E99" s="27">
        <f>IFERROR(100/'Skjema total MA'!C99*C99,0)</f>
        <v>0.19206586031140901</v>
      </c>
      <c r="F99" s="232"/>
      <c r="G99" s="145"/>
      <c r="H99" s="166"/>
      <c r="I99" s="27"/>
      <c r="J99" s="285">
        <f t="shared" si="18"/>
        <v>641414.54700000002</v>
      </c>
      <c r="K99" s="44">
        <f t="shared" si="18"/>
        <v>722269.95200000005</v>
      </c>
      <c r="L99" s="252">
        <f t="shared" si="17"/>
        <v>12.6</v>
      </c>
      <c r="M99" s="27">
        <f>IFERROR(100/'Skjema total MA'!I99*K99,0)</f>
        <v>0.19206586031140901</v>
      </c>
    </row>
    <row r="100" spans="1:13" x14ac:dyDescent="0.2">
      <c r="A100" s="21" t="s">
        <v>10</v>
      </c>
      <c r="B100" s="290"/>
      <c r="C100" s="291"/>
      <c r="D100" s="166"/>
      <c r="E100" s="27"/>
      <c r="F100" s="232">
        <v>12525546.199999999</v>
      </c>
      <c r="G100" s="232">
        <v>14332921.374</v>
      </c>
      <c r="H100" s="166">
        <f t="shared" si="15"/>
        <v>14.4</v>
      </c>
      <c r="I100" s="27">
        <f>IFERROR(100/'Skjema total MA'!F100*G100,0)</f>
        <v>5.0870816856478065</v>
      </c>
      <c r="J100" s="285">
        <f t="shared" si="18"/>
        <v>12525546.199999999</v>
      </c>
      <c r="K100" s="44">
        <f t="shared" si="18"/>
        <v>14332921.374</v>
      </c>
      <c r="L100" s="252">
        <f t="shared" si="17"/>
        <v>14.4</v>
      </c>
      <c r="M100" s="27">
        <f>IFERROR(100/'Skjema total MA'!I100*K100,0)</f>
        <v>5.034861829827129</v>
      </c>
    </row>
    <row r="101" spans="1:13" ht="15.75" x14ac:dyDescent="0.2">
      <c r="A101" s="294" t="s">
        <v>386</v>
      </c>
      <c r="B101" s="279"/>
      <c r="C101" s="279"/>
      <c r="D101" s="166"/>
      <c r="E101" s="363"/>
      <c r="F101" s="279"/>
      <c r="G101" s="279"/>
      <c r="H101" s="166"/>
      <c r="I101" s="363"/>
      <c r="J101" s="288"/>
      <c r="K101" s="288"/>
      <c r="L101" s="166"/>
      <c r="M101" s="23"/>
    </row>
    <row r="102" spans="1:13" x14ac:dyDescent="0.2">
      <c r="A102" s="294" t="s">
        <v>12</v>
      </c>
      <c r="B102" s="233"/>
      <c r="C102" s="287"/>
      <c r="D102" s="166"/>
      <c r="E102" s="363"/>
      <c r="F102" s="279"/>
      <c r="G102" s="279"/>
      <c r="H102" s="166"/>
      <c r="I102" s="363"/>
      <c r="J102" s="288"/>
      <c r="K102" s="288"/>
      <c r="L102" s="166"/>
      <c r="M102" s="23"/>
    </row>
    <row r="103" spans="1:13" x14ac:dyDescent="0.2">
      <c r="A103" s="294" t="s">
        <v>13</v>
      </c>
      <c r="B103" s="233"/>
      <c r="C103" s="287"/>
      <c r="D103" s="166"/>
      <c r="E103" s="363"/>
      <c r="F103" s="279"/>
      <c r="G103" s="279"/>
      <c r="H103" s="166"/>
      <c r="I103" s="363"/>
      <c r="J103" s="288"/>
      <c r="K103" s="288"/>
      <c r="L103" s="166"/>
      <c r="M103" s="23"/>
    </row>
    <row r="104" spans="1:13" ht="15.75" x14ac:dyDescent="0.2">
      <c r="A104" s="294" t="s">
        <v>387</v>
      </c>
      <c r="B104" s="279"/>
      <c r="C104" s="279"/>
      <c r="D104" s="166"/>
      <c r="E104" s="363"/>
      <c r="F104" s="279"/>
      <c r="G104" s="279"/>
      <c r="H104" s="166"/>
      <c r="I104" s="363"/>
      <c r="J104" s="288"/>
      <c r="K104" s="288"/>
      <c r="L104" s="166"/>
      <c r="M104" s="23"/>
    </row>
    <row r="105" spans="1:13" x14ac:dyDescent="0.2">
      <c r="A105" s="294" t="s">
        <v>12</v>
      </c>
      <c r="B105" s="233"/>
      <c r="C105" s="287"/>
      <c r="D105" s="166"/>
      <c r="E105" s="363"/>
      <c r="F105" s="279"/>
      <c r="G105" s="279"/>
      <c r="H105" s="166"/>
      <c r="I105" s="363"/>
      <c r="J105" s="288"/>
      <c r="K105" s="288"/>
      <c r="L105" s="166"/>
      <c r="M105" s="23"/>
    </row>
    <row r="106" spans="1:13" x14ac:dyDescent="0.2">
      <c r="A106" s="294" t="s">
        <v>13</v>
      </c>
      <c r="B106" s="233"/>
      <c r="C106" s="287"/>
      <c r="D106" s="166"/>
      <c r="E106" s="363"/>
      <c r="F106" s="279"/>
      <c r="G106" s="279"/>
      <c r="H106" s="166"/>
      <c r="I106" s="363"/>
      <c r="J106" s="288"/>
      <c r="K106" s="288"/>
      <c r="L106" s="166"/>
      <c r="M106" s="23"/>
    </row>
    <row r="107" spans="1:13" ht="15.75" x14ac:dyDescent="0.2">
      <c r="A107" s="21" t="s">
        <v>389</v>
      </c>
      <c r="B107" s="232"/>
      <c r="C107" s="145"/>
      <c r="D107" s="166"/>
      <c r="E107" s="27"/>
      <c r="F107" s="232"/>
      <c r="G107" s="145"/>
      <c r="H107" s="166"/>
      <c r="I107" s="27"/>
      <c r="J107" s="285"/>
      <c r="K107" s="44"/>
      <c r="L107" s="252"/>
      <c r="M107" s="27"/>
    </row>
    <row r="108" spans="1:13" ht="15.75" x14ac:dyDescent="0.2">
      <c r="A108" s="21" t="s">
        <v>390</v>
      </c>
      <c r="B108" s="232">
        <v>27811.705000000002</v>
      </c>
      <c r="C108" s="232">
        <v>256997.46799999999</v>
      </c>
      <c r="D108" s="166">
        <f t="shared" si="14"/>
        <v>824.1</v>
      </c>
      <c r="E108" s="27">
        <f>IFERROR(100/'Skjema total MA'!C108*C108,0)</f>
        <v>8.1466244280718428E-2</v>
      </c>
      <c r="F108" s="232">
        <v>181314.389</v>
      </c>
      <c r="G108" s="232">
        <v>180037.04300000001</v>
      </c>
      <c r="H108" s="166">
        <f t="shared" si="15"/>
        <v>-0.7</v>
      </c>
      <c r="I108" s="27">
        <f>IFERROR(100/'Skjema total MA'!F108*G108,0)</f>
        <v>1.1081738517545261</v>
      </c>
      <c r="J108" s="285">
        <f t="shared" si="18"/>
        <v>209126.09399999998</v>
      </c>
      <c r="K108" s="44">
        <f t="shared" si="18"/>
        <v>437034.511</v>
      </c>
      <c r="L108" s="252">
        <f t="shared" si="17"/>
        <v>109</v>
      </c>
      <c r="M108" s="27">
        <f>IFERROR(100/'Skjema total MA'!I108*K108,0)</f>
        <v>0.13175148600557213</v>
      </c>
    </row>
    <row r="109" spans="1:13" ht="15.75" x14ac:dyDescent="0.2">
      <c r="A109" s="21" t="s">
        <v>391</v>
      </c>
      <c r="B109" s="232"/>
      <c r="C109" s="232"/>
      <c r="D109" s="166"/>
      <c r="E109" s="27"/>
      <c r="F109" s="232">
        <v>4405908.7640000004</v>
      </c>
      <c r="G109" s="232">
        <v>5000449.1380000003</v>
      </c>
      <c r="H109" s="166">
        <f t="shared" si="15"/>
        <v>13.5</v>
      </c>
      <c r="I109" s="27">
        <f>IFERROR(100/'Skjema total MA'!F109*G109,0)</f>
        <v>5.2281298785333288</v>
      </c>
      <c r="J109" s="285">
        <f t="shared" si="18"/>
        <v>4405908.7640000004</v>
      </c>
      <c r="K109" s="44">
        <f t="shared" si="18"/>
        <v>5000449.1380000003</v>
      </c>
      <c r="L109" s="252">
        <f t="shared" si="17"/>
        <v>13.5</v>
      </c>
      <c r="M109" s="27">
        <f>IFERROR(100/'Skjema total MA'!I109*K109,0)</f>
        <v>5.1736978259171602</v>
      </c>
    </row>
    <row r="110" spans="1:13" ht="15.75" x14ac:dyDescent="0.2">
      <c r="A110" s="21" t="s">
        <v>392</v>
      </c>
      <c r="B110" s="232"/>
      <c r="C110" s="232"/>
      <c r="D110" s="166"/>
      <c r="E110" s="27"/>
      <c r="F110" s="232"/>
      <c r="G110" s="232"/>
      <c r="H110" s="166"/>
      <c r="I110" s="27"/>
      <c r="J110" s="285"/>
      <c r="K110" s="44"/>
      <c r="L110" s="252"/>
      <c r="M110" s="27"/>
    </row>
    <row r="111" spans="1:13" ht="15.75" x14ac:dyDescent="0.2">
      <c r="A111" s="13" t="s">
        <v>372</v>
      </c>
      <c r="B111" s="306">
        <v>10624.564</v>
      </c>
      <c r="C111" s="159">
        <v>15182.603999999999</v>
      </c>
      <c r="D111" s="171">
        <f t="shared" si="14"/>
        <v>42.9</v>
      </c>
      <c r="E111" s="11">
        <f>IFERROR(100/'Skjema total MA'!C111*C111,0)</f>
        <v>5.7605475832656579</v>
      </c>
      <c r="F111" s="306">
        <v>344651.35499999998</v>
      </c>
      <c r="G111" s="159">
        <v>582862.85800000001</v>
      </c>
      <c r="H111" s="171">
        <f t="shared" si="15"/>
        <v>69.099999999999994</v>
      </c>
      <c r="I111" s="11">
        <f>IFERROR(100/'Skjema total MA'!F111*G111,0)</f>
        <v>7.1430665532980955</v>
      </c>
      <c r="J111" s="307">
        <f t="shared" si="18"/>
        <v>355275.91899999999</v>
      </c>
      <c r="K111" s="234">
        <f t="shared" si="18"/>
        <v>598045.46200000006</v>
      </c>
      <c r="L111" s="371">
        <f t="shared" si="17"/>
        <v>68.3</v>
      </c>
      <c r="M111" s="11">
        <f>IFERROR(100/'Skjema total MA'!I111*K111,0)</f>
        <v>7.0998085930956227</v>
      </c>
    </row>
    <row r="112" spans="1:13" x14ac:dyDescent="0.2">
      <c r="A112" s="21" t="s">
        <v>9</v>
      </c>
      <c r="B112" s="232">
        <v>10624.564</v>
      </c>
      <c r="C112" s="145">
        <v>15182.603999999999</v>
      </c>
      <c r="D112" s="166">
        <f t="shared" si="14"/>
        <v>42.9</v>
      </c>
      <c r="E112" s="27">
        <f>IFERROR(100/'Skjema total MA'!C112*C112,0)</f>
        <v>7.2042039231175341</v>
      </c>
      <c r="F112" s="232"/>
      <c r="G112" s="145"/>
      <c r="H112" s="166"/>
      <c r="I112" s="27"/>
      <c r="J112" s="285">
        <f t="shared" ref="J112:K125" si="19">SUM(B112,F112)</f>
        <v>10624.564</v>
      </c>
      <c r="K112" s="44">
        <f t="shared" si="19"/>
        <v>15182.603999999999</v>
      </c>
      <c r="L112" s="252">
        <f t="shared" si="17"/>
        <v>42.9</v>
      </c>
      <c r="M112" s="27">
        <f>IFERROR(100/'Skjema total MA'!I112*K112,0)</f>
        <v>7.0284998070383216</v>
      </c>
    </row>
    <row r="113" spans="1:14" x14ac:dyDescent="0.2">
      <c r="A113" s="21" t="s">
        <v>10</v>
      </c>
      <c r="B113" s="232"/>
      <c r="C113" s="145"/>
      <c r="D113" s="166"/>
      <c r="E113" s="27"/>
      <c r="F113" s="232">
        <v>344651.35499999998</v>
      </c>
      <c r="G113" s="145">
        <v>582862.85800000001</v>
      </c>
      <c r="H113" s="166">
        <f t="shared" si="15"/>
        <v>69.099999999999994</v>
      </c>
      <c r="I113" s="27">
        <f>IFERROR(100/'Skjema total MA'!F113*G113,0)</f>
        <v>7.1714478202656142</v>
      </c>
      <c r="J113" s="285">
        <f t="shared" si="19"/>
        <v>344651.35499999998</v>
      </c>
      <c r="K113" s="44">
        <f t="shared" si="19"/>
        <v>582862.85800000001</v>
      </c>
      <c r="L113" s="252">
        <f t="shared" si="17"/>
        <v>69.099999999999994</v>
      </c>
      <c r="M113" s="27">
        <f>IFERROR(100/'Skjema total MA'!I113*K113,0)</f>
        <v>7.1705703396534162</v>
      </c>
    </row>
    <row r="114" spans="1:14" x14ac:dyDescent="0.2">
      <c r="A114" s="21" t="s">
        <v>26</v>
      </c>
      <c r="B114" s="232"/>
      <c r="C114" s="145"/>
      <c r="D114" s="166"/>
      <c r="E114" s="27"/>
      <c r="F114" s="232"/>
      <c r="G114" s="145"/>
      <c r="H114" s="166"/>
      <c r="I114" s="27"/>
      <c r="J114" s="285"/>
      <c r="K114" s="44"/>
      <c r="L114" s="252"/>
      <c r="M114" s="27"/>
    </row>
    <row r="115" spans="1:14" x14ac:dyDescent="0.2">
      <c r="A115" s="294" t="s">
        <v>15</v>
      </c>
      <c r="B115" s="279"/>
      <c r="C115" s="279"/>
      <c r="D115" s="166"/>
      <c r="E115" s="363"/>
      <c r="F115" s="279"/>
      <c r="G115" s="279"/>
      <c r="H115" s="166"/>
      <c r="I115" s="363"/>
      <c r="J115" s="288"/>
      <c r="K115" s="288"/>
      <c r="L115" s="166"/>
      <c r="M115" s="23"/>
    </row>
    <row r="116" spans="1:14" ht="15.75" x14ac:dyDescent="0.2">
      <c r="A116" s="21" t="s">
        <v>393</v>
      </c>
      <c r="B116" s="232">
        <v>230.381</v>
      </c>
      <c r="C116" s="232">
        <v>0</v>
      </c>
      <c r="D116" s="166">
        <f t="shared" si="14"/>
        <v>-100</v>
      </c>
      <c r="E116" s="27">
        <f>IFERROR(100/'Skjema total MA'!C116*C116,0)</f>
        <v>0</v>
      </c>
      <c r="F116" s="232">
        <v>766.40200000000004</v>
      </c>
      <c r="G116" s="232">
        <v>0</v>
      </c>
      <c r="H116" s="166">
        <f t="shared" si="15"/>
        <v>-100</v>
      </c>
      <c r="I116" s="27">
        <f>IFERROR(100/'Skjema total MA'!F116*G116,0)</f>
        <v>0</v>
      </c>
      <c r="J116" s="285">
        <f t="shared" si="19"/>
        <v>996.78300000000002</v>
      </c>
      <c r="K116" s="44">
        <f t="shared" si="19"/>
        <v>0</v>
      </c>
      <c r="L116" s="252">
        <f t="shared" si="17"/>
        <v>-100</v>
      </c>
      <c r="M116" s="27">
        <f>IFERROR(100/'Skjema total MA'!I116*K116,0)</f>
        <v>0</v>
      </c>
    </row>
    <row r="117" spans="1:14" ht="15.75" x14ac:dyDescent="0.2">
      <c r="A117" s="21" t="s">
        <v>394</v>
      </c>
      <c r="B117" s="232"/>
      <c r="C117" s="232"/>
      <c r="D117" s="166"/>
      <c r="E117" s="27"/>
      <c r="F117" s="232">
        <v>45816.163999999997</v>
      </c>
      <c r="G117" s="232">
        <v>57949.324999999997</v>
      </c>
      <c r="H117" s="166">
        <f t="shared" si="15"/>
        <v>26.5</v>
      </c>
      <c r="I117" s="27">
        <f>IFERROR(100/'Skjema total MA'!F117*G117,0)</f>
        <v>3.584581479986098</v>
      </c>
      <c r="J117" s="285">
        <f t="shared" si="19"/>
        <v>45816.163999999997</v>
      </c>
      <c r="K117" s="44">
        <f t="shared" si="19"/>
        <v>57949.324999999997</v>
      </c>
      <c r="L117" s="252">
        <f t="shared" si="17"/>
        <v>26.5</v>
      </c>
      <c r="M117" s="27">
        <f>IFERROR(100/'Skjema total MA'!I117*K117,0)</f>
        <v>3.584581479986098</v>
      </c>
    </row>
    <row r="118" spans="1:14" ht="15.75" x14ac:dyDescent="0.2">
      <c r="A118" s="21" t="s">
        <v>392</v>
      </c>
      <c r="B118" s="232"/>
      <c r="C118" s="232"/>
      <c r="D118" s="166"/>
      <c r="E118" s="27"/>
      <c r="F118" s="232"/>
      <c r="G118" s="232"/>
      <c r="H118" s="166"/>
      <c r="I118" s="27"/>
      <c r="J118" s="285"/>
      <c r="K118" s="44"/>
      <c r="L118" s="252"/>
      <c r="M118" s="27"/>
    </row>
    <row r="119" spans="1:14" ht="15.75" x14ac:dyDescent="0.2">
      <c r="A119" s="13" t="s">
        <v>373</v>
      </c>
      <c r="B119" s="306">
        <v>8919.0689999999995</v>
      </c>
      <c r="C119" s="159">
        <v>9072.6509999999998</v>
      </c>
      <c r="D119" s="171">
        <f t="shared" si="14"/>
        <v>1.7</v>
      </c>
      <c r="E119" s="11">
        <f>IFERROR(100/'Skjema total MA'!C119*C119,0)</f>
        <v>3.2410561908174871</v>
      </c>
      <c r="F119" s="306">
        <v>463735.41399999999</v>
      </c>
      <c r="G119" s="159">
        <v>339000.09700000001</v>
      </c>
      <c r="H119" s="171">
        <f t="shared" si="15"/>
        <v>-26.9</v>
      </c>
      <c r="I119" s="11">
        <f>IFERROR(100/'Skjema total MA'!F119*G119,0)</f>
        <v>4.1862095228724323</v>
      </c>
      <c r="J119" s="307">
        <f t="shared" si="19"/>
        <v>472654.48300000001</v>
      </c>
      <c r="K119" s="234">
        <f t="shared" si="19"/>
        <v>348072.74800000002</v>
      </c>
      <c r="L119" s="371">
        <f t="shared" si="17"/>
        <v>-26.4</v>
      </c>
      <c r="M119" s="11">
        <f>IFERROR(100/'Skjema total MA'!I119*K119,0)</f>
        <v>4.1546295178555113</v>
      </c>
    </row>
    <row r="120" spans="1:14" x14ac:dyDescent="0.2">
      <c r="A120" s="21" t="s">
        <v>9</v>
      </c>
      <c r="B120" s="232">
        <v>8919.0689999999995</v>
      </c>
      <c r="C120" s="145">
        <v>9072.6509999999998</v>
      </c>
      <c r="D120" s="166">
        <f t="shared" si="14"/>
        <v>1.7</v>
      </c>
      <c r="E120" s="27">
        <f>IFERROR(100/'Skjema total MA'!C120*C120,0)</f>
        <v>6.1308374627587954</v>
      </c>
      <c r="F120" s="232"/>
      <c r="G120" s="145"/>
      <c r="H120" s="166"/>
      <c r="I120" s="27"/>
      <c r="J120" s="285">
        <f t="shared" si="19"/>
        <v>8919.0689999999995</v>
      </c>
      <c r="K120" s="44">
        <f t="shared" si="19"/>
        <v>9072.6509999999998</v>
      </c>
      <c r="L120" s="252">
        <f t="shared" si="17"/>
        <v>1.7</v>
      </c>
      <c r="M120" s="27">
        <f>IFERROR(100/'Skjema total MA'!I120*K120,0)</f>
        <v>6.1308374627587954</v>
      </c>
    </row>
    <row r="121" spans="1:14" x14ac:dyDescent="0.2">
      <c r="A121" s="21" t="s">
        <v>10</v>
      </c>
      <c r="B121" s="232"/>
      <c r="C121" s="145"/>
      <c r="D121" s="166"/>
      <c r="E121" s="27"/>
      <c r="F121" s="232">
        <v>463735.41399999999</v>
      </c>
      <c r="G121" s="145">
        <v>339000.09700000001</v>
      </c>
      <c r="H121" s="166">
        <f t="shared" si="15"/>
        <v>-26.9</v>
      </c>
      <c r="I121" s="27">
        <f>IFERROR(100/'Skjema total MA'!F121*G121,0)</f>
        <v>4.1862095228724323</v>
      </c>
      <c r="J121" s="285">
        <f t="shared" si="19"/>
        <v>463735.41399999999</v>
      </c>
      <c r="K121" s="44">
        <f t="shared" si="19"/>
        <v>339000.09700000001</v>
      </c>
      <c r="L121" s="252">
        <f t="shared" si="17"/>
        <v>-26.9</v>
      </c>
      <c r="M121" s="27">
        <f>IFERROR(100/'Skjema total MA'!I121*K121,0)</f>
        <v>4.1751268215700161</v>
      </c>
    </row>
    <row r="122" spans="1:14" x14ac:dyDescent="0.2">
      <c r="A122" s="21" t="s">
        <v>26</v>
      </c>
      <c r="B122" s="232"/>
      <c r="C122" s="145"/>
      <c r="D122" s="166"/>
      <c r="E122" s="27"/>
      <c r="F122" s="232"/>
      <c r="G122" s="145"/>
      <c r="H122" s="166"/>
      <c r="I122" s="27"/>
      <c r="J122" s="285"/>
      <c r="K122" s="44"/>
      <c r="L122" s="252"/>
      <c r="M122" s="27"/>
    </row>
    <row r="123" spans="1:14" x14ac:dyDescent="0.2">
      <c r="A123" s="294" t="s">
        <v>14</v>
      </c>
      <c r="B123" s="279"/>
      <c r="C123" s="279"/>
      <c r="D123" s="166"/>
      <c r="E123" s="363"/>
      <c r="F123" s="279"/>
      <c r="G123" s="279"/>
      <c r="H123" s="166"/>
      <c r="I123" s="363"/>
      <c r="J123" s="288"/>
      <c r="K123" s="288"/>
      <c r="L123" s="166"/>
      <c r="M123" s="23"/>
    </row>
    <row r="124" spans="1:14" ht="15.75" x14ac:dyDescent="0.2">
      <c r="A124" s="21" t="s">
        <v>399</v>
      </c>
      <c r="B124" s="232">
        <v>0</v>
      </c>
      <c r="C124" s="232">
        <v>1.38</v>
      </c>
      <c r="D124" s="166" t="str">
        <f t="shared" si="14"/>
        <v xml:space="preserve">    ---- </v>
      </c>
      <c r="E124" s="27">
        <f>IFERROR(100/'Skjema total MA'!C124*C124,0)</f>
        <v>3.7041018886920006E-3</v>
      </c>
      <c r="F124" s="232">
        <v>4.3090000000000002</v>
      </c>
      <c r="G124" s="232">
        <v>2294.5720000000001</v>
      </c>
      <c r="H124" s="166">
        <f t="shared" si="15"/>
        <v>999</v>
      </c>
      <c r="I124" s="27">
        <f>IFERROR(100/'Skjema total MA'!F124*G124,0)</f>
        <v>15.704167274076175</v>
      </c>
      <c r="J124" s="285">
        <f t="shared" si="19"/>
        <v>4.3090000000000002</v>
      </c>
      <c r="K124" s="44">
        <f t="shared" si="19"/>
        <v>2295.9520000000002</v>
      </c>
      <c r="L124" s="252">
        <f t="shared" si="17"/>
        <v>999</v>
      </c>
      <c r="M124" s="27">
        <f>IFERROR(100/'Skjema total MA'!I124*K124,0)</f>
        <v>4.4265950554781393</v>
      </c>
    </row>
    <row r="125" spans="1:14" ht="15.75" x14ac:dyDescent="0.2">
      <c r="A125" s="21" t="s">
        <v>391</v>
      </c>
      <c r="B125" s="232"/>
      <c r="C125" s="232"/>
      <c r="D125" s="166"/>
      <c r="E125" s="27"/>
      <c r="F125" s="232">
        <v>89806.593999999997</v>
      </c>
      <c r="G125" s="232">
        <v>104786.70600000001</v>
      </c>
      <c r="H125" s="166">
        <f t="shared" si="15"/>
        <v>16.7</v>
      </c>
      <c r="I125" s="27">
        <f>IFERROR(100/'Skjema total MA'!F125*G125,0)</f>
        <v>6.2022444199864406</v>
      </c>
      <c r="J125" s="285">
        <f t="shared" si="19"/>
        <v>89806.593999999997</v>
      </c>
      <c r="K125" s="44">
        <f t="shared" si="19"/>
        <v>104786.70600000001</v>
      </c>
      <c r="L125" s="252">
        <f t="shared" si="17"/>
        <v>16.7</v>
      </c>
      <c r="M125" s="27">
        <f>IFERROR(100/'Skjema total MA'!I125*K125,0)</f>
        <v>6.1939044276698398</v>
      </c>
    </row>
    <row r="126" spans="1:14" ht="15.75" x14ac:dyDescent="0.2">
      <c r="A126" s="10" t="s">
        <v>392</v>
      </c>
      <c r="B126" s="45"/>
      <c r="C126" s="45"/>
      <c r="D126" s="167"/>
      <c r="E126" s="364"/>
      <c r="F126" s="45"/>
      <c r="G126" s="45"/>
      <c r="H126" s="167"/>
      <c r="I126" s="22"/>
      <c r="J126" s="286"/>
      <c r="K126" s="45"/>
      <c r="L126" s="253"/>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95"/>
      <c r="C130" s="695"/>
      <c r="D130" s="695"/>
      <c r="E130" s="355"/>
      <c r="F130" s="695"/>
      <c r="G130" s="695"/>
      <c r="H130" s="695"/>
      <c r="I130" s="355"/>
      <c r="J130" s="695"/>
      <c r="K130" s="695"/>
      <c r="L130" s="695"/>
      <c r="M130" s="355"/>
    </row>
    <row r="131" spans="1:14" s="3" customFormat="1" x14ac:dyDescent="0.2">
      <c r="A131" s="144"/>
      <c r="B131" s="696" t="s">
        <v>0</v>
      </c>
      <c r="C131" s="697"/>
      <c r="D131" s="697"/>
      <c r="E131" s="354"/>
      <c r="F131" s="696" t="s">
        <v>1</v>
      </c>
      <c r="G131" s="697"/>
      <c r="H131" s="697"/>
      <c r="I131" s="357"/>
      <c r="J131" s="696" t="s">
        <v>2</v>
      </c>
      <c r="K131" s="697"/>
      <c r="L131" s="697"/>
      <c r="M131" s="357"/>
      <c r="N131" s="148"/>
    </row>
    <row r="132" spans="1:14" s="3" customFormat="1" x14ac:dyDescent="0.2">
      <c r="A132" s="140"/>
      <c r="B132" s="152" t="s">
        <v>422</v>
      </c>
      <c r="C132" s="152" t="s">
        <v>423</v>
      </c>
      <c r="D132" s="243" t="s">
        <v>3</v>
      </c>
      <c r="E132" s="303" t="s">
        <v>29</v>
      </c>
      <c r="F132" s="152" t="s">
        <v>422</v>
      </c>
      <c r="G132" s="152" t="s">
        <v>423</v>
      </c>
      <c r="H132" s="205" t="s">
        <v>3</v>
      </c>
      <c r="I132" s="162" t="s">
        <v>29</v>
      </c>
      <c r="J132" s="152" t="s">
        <v>422</v>
      </c>
      <c r="K132" s="152" t="s">
        <v>423</v>
      </c>
      <c r="L132" s="244" t="s">
        <v>3</v>
      </c>
      <c r="M132" s="162" t="s">
        <v>29</v>
      </c>
      <c r="N132" s="148"/>
    </row>
    <row r="133" spans="1:14" s="3" customFormat="1" x14ac:dyDescent="0.2">
      <c r="A133" s="666"/>
      <c r="B133" s="156"/>
      <c r="C133" s="156"/>
      <c r="D133" s="244" t="s">
        <v>4</v>
      </c>
      <c r="E133" s="156" t="s">
        <v>30</v>
      </c>
      <c r="F133" s="161"/>
      <c r="G133" s="161"/>
      <c r="H133" s="205" t="s">
        <v>4</v>
      </c>
      <c r="I133" s="156" t="s">
        <v>30</v>
      </c>
      <c r="J133" s="156"/>
      <c r="K133" s="156"/>
      <c r="L133" s="150" t="s">
        <v>4</v>
      </c>
      <c r="M133" s="156" t="s">
        <v>30</v>
      </c>
      <c r="N133" s="148"/>
    </row>
    <row r="134" spans="1:14" s="3" customFormat="1" ht="15.75" x14ac:dyDescent="0.2">
      <c r="A134" s="14" t="s">
        <v>395</v>
      </c>
      <c r="B134" s="234"/>
      <c r="C134" s="307"/>
      <c r="D134" s="347"/>
      <c r="E134" s="11"/>
      <c r="F134" s="314"/>
      <c r="G134" s="315"/>
      <c r="H134" s="374"/>
      <c r="I134" s="24"/>
      <c r="J134" s="316"/>
      <c r="K134" s="316"/>
      <c r="L134" s="370"/>
      <c r="M134" s="11"/>
      <c r="N134" s="148"/>
    </row>
    <row r="135" spans="1:14" s="3" customFormat="1" ht="15.75" x14ac:dyDescent="0.2">
      <c r="A135" s="13" t="s">
        <v>400</v>
      </c>
      <c r="B135" s="234"/>
      <c r="C135" s="307"/>
      <c r="D135" s="171"/>
      <c r="E135" s="11"/>
      <c r="F135" s="234"/>
      <c r="G135" s="307"/>
      <c r="H135" s="375"/>
      <c r="I135" s="24"/>
      <c r="J135" s="306"/>
      <c r="K135" s="306"/>
      <c r="L135" s="371"/>
      <c r="M135" s="11"/>
      <c r="N135" s="148"/>
    </row>
    <row r="136" spans="1:14" s="3" customFormat="1" ht="15.75" x14ac:dyDescent="0.2">
      <c r="A136" s="13" t="s">
        <v>397</v>
      </c>
      <c r="B136" s="234"/>
      <c r="C136" s="307"/>
      <c r="D136" s="171"/>
      <c r="E136" s="11"/>
      <c r="F136" s="234"/>
      <c r="G136" s="307"/>
      <c r="H136" s="375"/>
      <c r="I136" s="24"/>
      <c r="J136" s="306"/>
      <c r="K136" s="306"/>
      <c r="L136" s="371"/>
      <c r="M136" s="11"/>
      <c r="N136" s="148"/>
    </row>
    <row r="137" spans="1:14" s="3" customFormat="1" ht="15.75" x14ac:dyDescent="0.2">
      <c r="A137" s="41" t="s">
        <v>398</v>
      </c>
      <c r="B137" s="274"/>
      <c r="C137" s="313"/>
      <c r="D137" s="169"/>
      <c r="E137" s="9"/>
      <c r="F137" s="274"/>
      <c r="G137" s="313"/>
      <c r="H137" s="376"/>
      <c r="I137" s="36"/>
      <c r="J137" s="312"/>
      <c r="K137" s="312"/>
      <c r="L137" s="372"/>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50:C52">
    <cfRule type="expression" dxfId="1517" priority="82">
      <formula>kvartal &lt; 4</formula>
    </cfRule>
  </conditionalFormatting>
  <conditionalFormatting sqref="B69">
    <cfRule type="expression" dxfId="1516" priority="61">
      <formula>kvartal &lt; 4</formula>
    </cfRule>
  </conditionalFormatting>
  <conditionalFormatting sqref="C69">
    <cfRule type="expression" dxfId="1515" priority="60">
      <formula>kvartal &lt; 4</formula>
    </cfRule>
  </conditionalFormatting>
  <conditionalFormatting sqref="B72">
    <cfRule type="expression" dxfId="1514" priority="59">
      <formula>kvartal &lt; 4</formula>
    </cfRule>
  </conditionalFormatting>
  <conditionalFormatting sqref="C72">
    <cfRule type="expression" dxfId="1513" priority="58">
      <formula>kvartal &lt; 4</formula>
    </cfRule>
  </conditionalFormatting>
  <conditionalFormatting sqref="B80">
    <cfRule type="expression" dxfId="1512" priority="57">
      <formula>kvartal &lt; 4</formula>
    </cfRule>
  </conditionalFormatting>
  <conditionalFormatting sqref="C80">
    <cfRule type="expression" dxfId="1511" priority="56">
      <formula>kvartal &lt; 4</formula>
    </cfRule>
  </conditionalFormatting>
  <conditionalFormatting sqref="B83">
    <cfRule type="expression" dxfId="1510" priority="55">
      <formula>kvartal &lt; 4</formula>
    </cfRule>
  </conditionalFormatting>
  <conditionalFormatting sqref="C83">
    <cfRule type="expression" dxfId="1509" priority="54">
      <formula>kvartal &lt; 4</formula>
    </cfRule>
  </conditionalFormatting>
  <conditionalFormatting sqref="B90">
    <cfRule type="expression" dxfId="1508" priority="53">
      <formula>kvartal &lt; 4</formula>
    </cfRule>
  </conditionalFormatting>
  <conditionalFormatting sqref="C90">
    <cfRule type="expression" dxfId="1507" priority="52">
      <formula>kvartal &lt; 4</formula>
    </cfRule>
  </conditionalFormatting>
  <conditionalFormatting sqref="B93">
    <cfRule type="expression" dxfId="1506" priority="51">
      <formula>kvartal &lt; 4</formula>
    </cfRule>
  </conditionalFormatting>
  <conditionalFormatting sqref="C93">
    <cfRule type="expression" dxfId="1505" priority="50">
      <formula>kvartal &lt; 4</formula>
    </cfRule>
  </conditionalFormatting>
  <conditionalFormatting sqref="B101">
    <cfRule type="expression" dxfId="1504" priority="49">
      <formula>kvartal &lt; 4</formula>
    </cfRule>
  </conditionalFormatting>
  <conditionalFormatting sqref="C101">
    <cfRule type="expression" dxfId="1503" priority="48">
      <formula>kvartal &lt; 4</formula>
    </cfRule>
  </conditionalFormatting>
  <conditionalFormatting sqref="B104">
    <cfRule type="expression" dxfId="1502" priority="47">
      <formula>kvartal &lt; 4</formula>
    </cfRule>
  </conditionalFormatting>
  <conditionalFormatting sqref="C104">
    <cfRule type="expression" dxfId="1501" priority="46">
      <formula>kvartal &lt; 4</formula>
    </cfRule>
  </conditionalFormatting>
  <conditionalFormatting sqref="B115">
    <cfRule type="expression" dxfId="1500" priority="45">
      <formula>kvartal &lt; 4</formula>
    </cfRule>
  </conditionalFormatting>
  <conditionalFormatting sqref="C115">
    <cfRule type="expression" dxfId="1499" priority="44">
      <formula>kvartal &lt; 4</formula>
    </cfRule>
  </conditionalFormatting>
  <conditionalFormatting sqref="B123">
    <cfRule type="expression" dxfId="1498" priority="43">
      <formula>kvartal &lt; 4</formula>
    </cfRule>
  </conditionalFormatting>
  <conditionalFormatting sqref="C123">
    <cfRule type="expression" dxfId="1497" priority="42">
      <formula>kvartal &lt; 4</formula>
    </cfRule>
  </conditionalFormatting>
  <conditionalFormatting sqref="F70">
    <cfRule type="expression" dxfId="1496" priority="41">
      <formula>kvartal &lt; 4</formula>
    </cfRule>
  </conditionalFormatting>
  <conditionalFormatting sqref="G70">
    <cfRule type="expression" dxfId="1495" priority="40">
      <formula>kvartal &lt; 4</formula>
    </cfRule>
  </conditionalFormatting>
  <conditionalFormatting sqref="F71:G71">
    <cfRule type="expression" dxfId="1494" priority="39">
      <formula>kvartal &lt; 4</formula>
    </cfRule>
  </conditionalFormatting>
  <conditionalFormatting sqref="F73:G74">
    <cfRule type="expression" dxfId="1493" priority="38">
      <formula>kvartal &lt; 4</formula>
    </cfRule>
  </conditionalFormatting>
  <conditionalFormatting sqref="F81:G82">
    <cfRule type="expression" dxfId="1492" priority="37">
      <formula>kvartal &lt; 4</formula>
    </cfRule>
  </conditionalFormatting>
  <conditionalFormatting sqref="F84:G85">
    <cfRule type="expression" dxfId="1491" priority="36">
      <formula>kvartal &lt; 4</formula>
    </cfRule>
  </conditionalFormatting>
  <conditionalFormatting sqref="F91:G92">
    <cfRule type="expression" dxfId="1490" priority="35">
      <formula>kvartal &lt; 4</formula>
    </cfRule>
  </conditionalFormatting>
  <conditionalFormatting sqref="F94:G95">
    <cfRule type="expression" dxfId="1489" priority="34">
      <formula>kvartal &lt; 4</formula>
    </cfRule>
  </conditionalFormatting>
  <conditionalFormatting sqref="F102:G103">
    <cfRule type="expression" dxfId="1488" priority="33">
      <formula>kvartal &lt; 4</formula>
    </cfRule>
  </conditionalFormatting>
  <conditionalFormatting sqref="F105:G106">
    <cfRule type="expression" dxfId="1487" priority="32">
      <formula>kvartal &lt; 4</formula>
    </cfRule>
  </conditionalFormatting>
  <conditionalFormatting sqref="F115">
    <cfRule type="expression" dxfId="1486" priority="31">
      <formula>kvartal &lt; 4</formula>
    </cfRule>
  </conditionalFormatting>
  <conditionalFormatting sqref="G115">
    <cfRule type="expression" dxfId="1485" priority="30">
      <formula>kvartal &lt; 4</formula>
    </cfRule>
  </conditionalFormatting>
  <conditionalFormatting sqref="F123:G123">
    <cfRule type="expression" dxfId="1484" priority="29">
      <formula>kvartal &lt; 4</formula>
    </cfRule>
  </conditionalFormatting>
  <conditionalFormatting sqref="F69:G69">
    <cfRule type="expression" dxfId="1483" priority="28">
      <formula>kvartal &lt; 4</formula>
    </cfRule>
  </conditionalFormatting>
  <conditionalFormatting sqref="F72:G72">
    <cfRule type="expression" dxfId="1482" priority="27">
      <formula>kvartal &lt; 4</formula>
    </cfRule>
  </conditionalFormatting>
  <conditionalFormatting sqref="F80:G80">
    <cfRule type="expression" dxfId="1481" priority="26">
      <formula>kvartal &lt; 4</formula>
    </cfRule>
  </conditionalFormatting>
  <conditionalFormatting sqref="F83:G83">
    <cfRule type="expression" dxfId="1480" priority="25">
      <formula>kvartal &lt; 4</formula>
    </cfRule>
  </conditionalFormatting>
  <conditionalFormatting sqref="F90:G90">
    <cfRule type="expression" dxfId="1479" priority="24">
      <formula>kvartal &lt; 4</formula>
    </cfRule>
  </conditionalFormatting>
  <conditionalFormatting sqref="F93">
    <cfRule type="expression" dxfId="1478" priority="23">
      <formula>kvartal &lt; 4</formula>
    </cfRule>
  </conditionalFormatting>
  <conditionalFormatting sqref="G93">
    <cfRule type="expression" dxfId="1477" priority="22">
      <formula>kvartal &lt; 4</formula>
    </cfRule>
  </conditionalFormatting>
  <conditionalFormatting sqref="F101">
    <cfRule type="expression" dxfId="1476" priority="21">
      <formula>kvartal &lt; 4</formula>
    </cfRule>
  </conditionalFormatting>
  <conditionalFormatting sqref="G101">
    <cfRule type="expression" dxfId="1475" priority="20">
      <formula>kvartal &lt; 4</formula>
    </cfRule>
  </conditionalFormatting>
  <conditionalFormatting sqref="G104">
    <cfRule type="expression" dxfId="1474" priority="19">
      <formula>kvartal &lt; 4</formula>
    </cfRule>
  </conditionalFormatting>
  <conditionalFormatting sqref="F104">
    <cfRule type="expression" dxfId="1473" priority="18">
      <formula>kvartal &lt; 4</formula>
    </cfRule>
  </conditionalFormatting>
  <conditionalFormatting sqref="J69:K73">
    <cfRule type="expression" dxfId="1472" priority="17">
      <formula>kvartal &lt; 4</formula>
    </cfRule>
  </conditionalFormatting>
  <conditionalFormatting sqref="J74:K74">
    <cfRule type="expression" dxfId="1471" priority="16">
      <formula>kvartal &lt; 4</formula>
    </cfRule>
  </conditionalFormatting>
  <conditionalFormatting sqref="J80:K85">
    <cfRule type="expression" dxfId="1470" priority="15">
      <formula>kvartal &lt; 4</formula>
    </cfRule>
  </conditionalFormatting>
  <conditionalFormatting sqref="J90:K95">
    <cfRule type="expression" dxfId="1469" priority="14">
      <formula>kvartal &lt; 4</formula>
    </cfRule>
  </conditionalFormatting>
  <conditionalFormatting sqref="J101:K106">
    <cfRule type="expression" dxfId="1468" priority="13">
      <formula>kvartal &lt; 4</formula>
    </cfRule>
  </conditionalFormatting>
  <conditionalFormatting sqref="J115:K115">
    <cfRule type="expression" dxfId="1467" priority="12">
      <formula>kvartal &lt; 4</formula>
    </cfRule>
  </conditionalFormatting>
  <conditionalFormatting sqref="J123:K123">
    <cfRule type="expression" dxfId="1466" priority="11">
      <formula>kvartal &lt; 4</formula>
    </cfRule>
  </conditionalFormatting>
  <conditionalFormatting sqref="A50:A52">
    <cfRule type="expression" dxfId="1465" priority="8">
      <formula>kvartal &lt; 4</formula>
    </cfRule>
  </conditionalFormatting>
  <conditionalFormatting sqref="A69:A74">
    <cfRule type="expression" dxfId="1464" priority="7">
      <formula>kvartal &lt; 4</formula>
    </cfRule>
  </conditionalFormatting>
  <conditionalFormatting sqref="A80:A85">
    <cfRule type="expression" dxfId="1463" priority="6">
      <formula>kvartal &lt; 4</formula>
    </cfRule>
  </conditionalFormatting>
  <conditionalFormatting sqref="A90:A95">
    <cfRule type="expression" dxfId="1462" priority="5">
      <formula>kvartal &lt; 4</formula>
    </cfRule>
  </conditionalFormatting>
  <conditionalFormatting sqref="A101:A106">
    <cfRule type="expression" dxfId="1461" priority="4">
      <formula>kvartal &lt; 4</formula>
    </cfRule>
  </conditionalFormatting>
  <conditionalFormatting sqref="A115">
    <cfRule type="expression" dxfId="1460" priority="3">
      <formula>kvartal &lt; 4</formula>
    </cfRule>
  </conditionalFormatting>
  <conditionalFormatting sqref="A123">
    <cfRule type="expression" dxfId="1459" priority="2">
      <formula>kvartal &lt; 4</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Q144"/>
  <sheetViews>
    <sheetView showGridLines="0" zoomScaleNormal="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7" x14ac:dyDescent="0.2">
      <c r="A1" s="172" t="s">
        <v>142</v>
      </c>
      <c r="B1" s="664"/>
      <c r="C1" s="246" t="s">
        <v>129</v>
      </c>
      <c r="D1" s="26"/>
      <c r="E1" s="26"/>
      <c r="F1" s="26"/>
      <c r="G1" s="26"/>
      <c r="H1" s="26"/>
      <c r="I1" s="26"/>
      <c r="J1" s="26"/>
      <c r="K1" s="26"/>
      <c r="L1" s="26"/>
      <c r="M1" s="26"/>
    </row>
    <row r="2" spans="1:17" ht="15.75" x14ac:dyDescent="0.25">
      <c r="A2" s="165" t="s">
        <v>28</v>
      </c>
      <c r="B2" s="700"/>
      <c r="C2" s="700"/>
      <c r="D2" s="700"/>
      <c r="E2" s="297"/>
      <c r="F2" s="700"/>
      <c r="G2" s="700"/>
      <c r="H2" s="700"/>
      <c r="I2" s="297"/>
      <c r="J2" s="700"/>
      <c r="K2" s="700"/>
      <c r="L2" s="700"/>
      <c r="M2" s="297"/>
    </row>
    <row r="3" spans="1:17" ht="15.75" x14ac:dyDescent="0.25">
      <c r="A3" s="163"/>
      <c r="B3" s="297"/>
      <c r="C3" s="297"/>
      <c r="D3" s="297"/>
      <c r="E3" s="297"/>
      <c r="F3" s="297"/>
      <c r="G3" s="297"/>
      <c r="H3" s="297"/>
      <c r="I3" s="297"/>
      <c r="J3" s="297"/>
      <c r="K3" s="297"/>
      <c r="L3" s="297"/>
      <c r="M3" s="297"/>
    </row>
    <row r="4" spans="1:17" x14ac:dyDescent="0.2">
      <c r="A4" s="144"/>
      <c r="B4" s="696" t="s">
        <v>0</v>
      </c>
      <c r="C4" s="697"/>
      <c r="D4" s="697"/>
      <c r="E4" s="299"/>
      <c r="F4" s="696" t="s">
        <v>1</v>
      </c>
      <c r="G4" s="697"/>
      <c r="H4" s="697"/>
      <c r="I4" s="302"/>
      <c r="J4" s="696" t="s">
        <v>2</v>
      </c>
      <c r="K4" s="697"/>
      <c r="L4" s="697"/>
      <c r="M4" s="302"/>
    </row>
    <row r="5" spans="1:17" x14ac:dyDescent="0.2">
      <c r="A5" s="158"/>
      <c r="B5" s="152" t="s">
        <v>422</v>
      </c>
      <c r="C5" s="152" t="s">
        <v>423</v>
      </c>
      <c r="D5" s="243" t="s">
        <v>3</v>
      </c>
      <c r="E5" s="303" t="s">
        <v>29</v>
      </c>
      <c r="F5" s="152" t="s">
        <v>422</v>
      </c>
      <c r="G5" s="152" t="s">
        <v>423</v>
      </c>
      <c r="H5" s="243" t="s">
        <v>3</v>
      </c>
      <c r="I5" s="162" t="s">
        <v>29</v>
      </c>
      <c r="J5" s="152" t="s">
        <v>422</v>
      </c>
      <c r="K5" s="152" t="s">
        <v>423</v>
      </c>
      <c r="L5" s="243" t="s">
        <v>3</v>
      </c>
      <c r="M5" s="162" t="s">
        <v>29</v>
      </c>
    </row>
    <row r="6" spans="1:17" x14ac:dyDescent="0.2">
      <c r="A6" s="665"/>
      <c r="B6" s="156"/>
      <c r="C6" s="156"/>
      <c r="D6" s="244" t="s">
        <v>4</v>
      </c>
      <c r="E6" s="156" t="s">
        <v>30</v>
      </c>
      <c r="F6" s="161"/>
      <c r="G6" s="161"/>
      <c r="H6" s="243" t="s">
        <v>4</v>
      </c>
      <c r="I6" s="156" t="s">
        <v>30</v>
      </c>
      <c r="J6" s="161"/>
      <c r="K6" s="161"/>
      <c r="L6" s="243" t="s">
        <v>4</v>
      </c>
      <c r="M6" s="156" t="s">
        <v>30</v>
      </c>
    </row>
    <row r="7" spans="1:17" ht="15.75" x14ac:dyDescent="0.2">
      <c r="A7" s="14" t="s">
        <v>23</v>
      </c>
      <c r="B7" s="304">
        <v>358089</v>
      </c>
      <c r="C7" s="305">
        <v>343382</v>
      </c>
      <c r="D7" s="347">
        <f>IF(B7=0, "    ---- ", IF(ABS(ROUND(100/B7*C7-100,1))&lt;999,ROUND(100/B7*C7-100,1),IF(ROUND(100/B7*C7-100,1)&gt;999,999,-999)))</f>
        <v>-4.0999999999999996</v>
      </c>
      <c r="E7" s="11">
        <f>IFERROR(100/'Skjema total MA'!C7*C7,0)</f>
        <v>12.930467682852926</v>
      </c>
      <c r="F7" s="304">
        <v>301269</v>
      </c>
      <c r="G7" s="305">
        <v>259944</v>
      </c>
      <c r="H7" s="347">
        <f>IF(F7=0, "    ---- ", IF(ABS(ROUND(100/F7*G7-100,1))&lt;999,ROUND(100/F7*G7-100,1),IF(ROUND(100/F7*G7-100,1)&gt;999,999,-999)))</f>
        <v>-13.7</v>
      </c>
      <c r="I7" s="160">
        <f>IFERROR(100/'Skjema total MA'!F7*G7,0)</f>
        <v>5.1706580644553863</v>
      </c>
      <c r="J7" s="306">
        <f t="shared" ref="J7:K12" si="0">SUM(B7,F7)</f>
        <v>659358</v>
      </c>
      <c r="K7" s="307">
        <f t="shared" si="0"/>
        <v>603326</v>
      </c>
      <c r="L7" s="370">
        <f>IF(J7=0, "    ---- ", IF(ABS(ROUND(100/J7*K7-100,1))&lt;999,ROUND(100/J7*K7-100,1),IF(ROUND(100/J7*K7-100,1)&gt;999,999,-999)))</f>
        <v>-8.5</v>
      </c>
      <c r="M7" s="11">
        <f>IFERROR(100/'Skjema total MA'!I7*K7,0)</f>
        <v>7.8528478147265739</v>
      </c>
    </row>
    <row r="8" spans="1:17" ht="15.75" x14ac:dyDescent="0.2">
      <c r="A8" s="21" t="s">
        <v>25</v>
      </c>
      <c r="B8" s="279">
        <v>142548</v>
      </c>
      <c r="C8" s="280">
        <v>69700.615999999995</v>
      </c>
      <c r="D8" s="166">
        <f t="shared" ref="D8:D12" si="1">IF(B8=0, "    ---- ", IF(ABS(ROUND(100/B8*C8-100,1))&lt;999,ROUND(100/B8*C8-100,1),IF(ROUND(100/B8*C8-100,1)&gt;999,999,-999)))</f>
        <v>-51.1</v>
      </c>
      <c r="E8" s="27">
        <f>IFERROR(100/'Skjema total MA'!C8*C8,0)</f>
        <v>4.3640872789967347</v>
      </c>
      <c r="F8" s="283"/>
      <c r="G8" s="284"/>
      <c r="H8" s="166"/>
      <c r="I8" s="175"/>
      <c r="J8" s="232">
        <f t="shared" si="0"/>
        <v>142548</v>
      </c>
      <c r="K8" s="285">
        <f t="shared" si="0"/>
        <v>69700.615999999995</v>
      </c>
      <c r="L8" s="252">
        <f t="shared" ref="L8:L12" si="2">IF(J8=0, "    ---- ", IF(ABS(ROUND(100/J8*K8-100,1))&lt;999,ROUND(100/J8*K8-100,1),IF(ROUND(100/J8*K8-100,1)&gt;999,999,-999)))</f>
        <v>-51.1</v>
      </c>
      <c r="M8" s="27">
        <f>IFERROR(100/'Skjema total MA'!I8*K8,0)</f>
        <v>4.3640872789967347</v>
      </c>
    </row>
    <row r="9" spans="1:17" ht="15.75" x14ac:dyDescent="0.2">
      <c r="A9" s="21" t="s">
        <v>24</v>
      </c>
      <c r="B9" s="279">
        <v>56756</v>
      </c>
      <c r="C9" s="280">
        <v>26130.769499999999</v>
      </c>
      <c r="D9" s="166">
        <f t="shared" si="1"/>
        <v>-54</v>
      </c>
      <c r="E9" s="27">
        <f>IFERROR(100/'Skjema total MA'!C9*C9,0)</f>
        <v>4.4878170314836439</v>
      </c>
      <c r="F9" s="283"/>
      <c r="G9" s="284"/>
      <c r="H9" s="166"/>
      <c r="I9" s="175"/>
      <c r="J9" s="232">
        <f t="shared" si="0"/>
        <v>56756</v>
      </c>
      <c r="K9" s="285">
        <f t="shared" si="0"/>
        <v>26130.769499999999</v>
      </c>
      <c r="L9" s="252">
        <f t="shared" si="2"/>
        <v>-54</v>
      </c>
      <c r="M9" s="27">
        <f>IFERROR(100/'Skjema total MA'!I9*K9,0)</f>
        <v>4.4878170314836439</v>
      </c>
    </row>
    <row r="10" spans="1:17" ht="15.75" x14ac:dyDescent="0.2">
      <c r="A10" s="13" t="s">
        <v>371</v>
      </c>
      <c r="B10" s="308">
        <v>15243551</v>
      </c>
      <c r="C10" s="309">
        <v>13517582</v>
      </c>
      <c r="D10" s="171">
        <f t="shared" si="1"/>
        <v>-11.3</v>
      </c>
      <c r="E10" s="11">
        <f>IFERROR(100/'Skjema total MA'!C10*C10,0)</f>
        <v>68.633524130256248</v>
      </c>
      <c r="F10" s="308">
        <v>5906675</v>
      </c>
      <c r="G10" s="309">
        <v>5816710.6239999998</v>
      </c>
      <c r="H10" s="171">
        <f t="shared" ref="H10:H12" si="3">IF(F10=0, "    ---- ", IF(ABS(ROUND(100/F10*G10-100,1))&lt;999,ROUND(100/F10*G10-100,1),IF(ROUND(100/F10*G10-100,1)&gt;999,999,-999)))</f>
        <v>-1.5</v>
      </c>
      <c r="I10" s="160">
        <f>IFERROR(100/'Skjema total MA'!F10*G10,0)</f>
        <v>12.53497219212664</v>
      </c>
      <c r="J10" s="306">
        <f t="shared" si="0"/>
        <v>21150226</v>
      </c>
      <c r="K10" s="307">
        <f t="shared" si="0"/>
        <v>19334292.623999998</v>
      </c>
      <c r="L10" s="371">
        <f t="shared" si="2"/>
        <v>-8.6</v>
      </c>
      <c r="M10" s="11">
        <f>IFERROR(100/'Skjema total MA'!I10*K10,0)</f>
        <v>29.250435068900636</v>
      </c>
      <c r="Q10" s="149"/>
    </row>
    <row r="11" spans="1:17" s="43" customFormat="1" ht="15.75" x14ac:dyDescent="0.2">
      <c r="A11" s="13" t="s">
        <v>372</v>
      </c>
      <c r="B11" s="308">
        <v>6222</v>
      </c>
      <c r="C11" s="309">
        <v>25094</v>
      </c>
      <c r="D11" s="171">
        <f t="shared" si="1"/>
        <v>303.3</v>
      </c>
      <c r="E11" s="11">
        <f>IFERROR(100/'Skjema total MA'!C11*C11,0)</f>
        <v>100</v>
      </c>
      <c r="F11" s="308">
        <v>22955</v>
      </c>
      <c r="G11" s="309">
        <v>12375</v>
      </c>
      <c r="H11" s="171">
        <f t="shared" si="3"/>
        <v>-46.1</v>
      </c>
      <c r="I11" s="160">
        <f>IFERROR(100/'Skjema total MA'!F11*G11,0)</f>
        <v>7.3704662054878174</v>
      </c>
      <c r="J11" s="306">
        <f t="shared" si="0"/>
        <v>29177</v>
      </c>
      <c r="K11" s="307">
        <f t="shared" si="0"/>
        <v>37469</v>
      </c>
      <c r="L11" s="371">
        <f t="shared" si="2"/>
        <v>28.4</v>
      </c>
      <c r="M11" s="11">
        <f>IFERROR(100/'Skjema total MA'!I11*K11,0)</f>
        <v>19.41461061412916</v>
      </c>
      <c r="N11" s="143"/>
    </row>
    <row r="12" spans="1:17" s="43" customFormat="1" ht="15.75" x14ac:dyDescent="0.2">
      <c r="A12" s="41" t="s">
        <v>373</v>
      </c>
      <c r="B12" s="310">
        <v>-30</v>
      </c>
      <c r="C12" s="311">
        <v>4345</v>
      </c>
      <c r="D12" s="169">
        <f t="shared" si="1"/>
        <v>-999</v>
      </c>
      <c r="E12" s="36">
        <f>IFERROR(100/'Skjema total MA'!C12*C12,0)</f>
        <v>100</v>
      </c>
      <c r="F12" s="310">
        <v>27833</v>
      </c>
      <c r="G12" s="311">
        <v>48002</v>
      </c>
      <c r="H12" s="169">
        <f t="shared" si="3"/>
        <v>72.5</v>
      </c>
      <c r="I12" s="169">
        <f>IFERROR(100/'Skjema total MA'!F12*G12,0)</f>
        <v>42.357778333703983</v>
      </c>
      <c r="J12" s="312">
        <f t="shared" si="0"/>
        <v>27803</v>
      </c>
      <c r="K12" s="313">
        <f t="shared" si="0"/>
        <v>52347</v>
      </c>
      <c r="L12" s="372">
        <f t="shared" si="2"/>
        <v>88.3</v>
      </c>
      <c r="M12" s="36">
        <f>IFERROR(100/'Skjema total MA'!I12*K12,0)</f>
        <v>44.48623259930725</v>
      </c>
      <c r="N12" s="143"/>
      <c r="Q12" s="143"/>
    </row>
    <row r="13" spans="1:17" s="43" customFormat="1" x14ac:dyDescent="0.2">
      <c r="A13" s="168"/>
      <c r="B13" s="145"/>
      <c r="C13" s="33"/>
      <c r="D13" s="159"/>
      <c r="E13" s="159"/>
      <c r="F13" s="145"/>
      <c r="G13" s="33"/>
      <c r="H13" s="159"/>
      <c r="I13" s="159"/>
      <c r="J13" s="48"/>
      <c r="K13" s="48"/>
      <c r="L13" s="159"/>
      <c r="M13" s="159"/>
      <c r="N13" s="143"/>
    </row>
    <row r="14" spans="1:17" x14ac:dyDescent="0.2">
      <c r="A14" s="153" t="s">
        <v>281</v>
      </c>
      <c r="B14" s="26"/>
    </row>
    <row r="15" spans="1:17" x14ac:dyDescent="0.2">
      <c r="F15" s="146"/>
      <c r="G15" s="146"/>
      <c r="H15" s="146"/>
      <c r="I15" s="146"/>
      <c r="J15" s="146"/>
      <c r="K15" s="146"/>
      <c r="L15" s="146"/>
      <c r="M15" s="146"/>
    </row>
    <row r="16" spans="1:17"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95"/>
      <c r="C18" s="695"/>
      <c r="D18" s="695"/>
      <c r="E18" s="297"/>
      <c r="F18" s="695"/>
      <c r="G18" s="695"/>
      <c r="H18" s="695"/>
      <c r="I18" s="297"/>
      <c r="J18" s="695"/>
      <c r="K18" s="695"/>
      <c r="L18" s="695"/>
      <c r="M18" s="297"/>
    </row>
    <row r="19" spans="1:14" x14ac:dyDescent="0.2">
      <c r="A19" s="144"/>
      <c r="B19" s="696" t="s">
        <v>0</v>
      </c>
      <c r="C19" s="697"/>
      <c r="D19" s="697"/>
      <c r="E19" s="299"/>
      <c r="F19" s="696" t="s">
        <v>1</v>
      </c>
      <c r="G19" s="697"/>
      <c r="H19" s="697"/>
      <c r="I19" s="302"/>
      <c r="J19" s="696" t="s">
        <v>2</v>
      </c>
      <c r="K19" s="697"/>
      <c r="L19" s="697"/>
      <c r="M19" s="302"/>
    </row>
    <row r="20" spans="1:14" x14ac:dyDescent="0.2">
      <c r="A20" s="140" t="s">
        <v>5</v>
      </c>
      <c r="B20" s="152" t="s">
        <v>422</v>
      </c>
      <c r="C20" s="152" t="s">
        <v>423</v>
      </c>
      <c r="D20" s="162" t="s">
        <v>3</v>
      </c>
      <c r="E20" s="303" t="s">
        <v>29</v>
      </c>
      <c r="F20" s="152" t="s">
        <v>422</v>
      </c>
      <c r="G20" s="152" t="s">
        <v>423</v>
      </c>
      <c r="H20" s="162" t="s">
        <v>3</v>
      </c>
      <c r="I20" s="162" t="s">
        <v>29</v>
      </c>
      <c r="J20" s="152" t="s">
        <v>422</v>
      </c>
      <c r="K20" s="152" t="s">
        <v>423</v>
      </c>
      <c r="L20" s="162" t="s">
        <v>3</v>
      </c>
      <c r="M20" s="162" t="s">
        <v>29</v>
      </c>
    </row>
    <row r="21" spans="1:14" x14ac:dyDescent="0.2">
      <c r="A21" s="666"/>
      <c r="B21" s="156"/>
      <c r="C21" s="156"/>
      <c r="D21" s="244" t="s">
        <v>4</v>
      </c>
      <c r="E21" s="156" t="s">
        <v>30</v>
      </c>
      <c r="F21" s="161"/>
      <c r="G21" s="161"/>
      <c r="H21" s="243" t="s">
        <v>4</v>
      </c>
      <c r="I21" s="156" t="s">
        <v>30</v>
      </c>
      <c r="J21" s="161"/>
      <c r="K21" s="161"/>
      <c r="L21" s="156" t="s">
        <v>4</v>
      </c>
      <c r="M21" s="156" t="s">
        <v>30</v>
      </c>
    </row>
    <row r="22" spans="1:14" ht="15.75" x14ac:dyDescent="0.2">
      <c r="A22" s="14" t="s">
        <v>23</v>
      </c>
      <c r="B22" s="308">
        <v>167150</v>
      </c>
      <c r="C22" s="308">
        <v>189966.45699999999</v>
      </c>
      <c r="D22" s="347">
        <f t="shared" ref="D22:D39" si="4">IF(B22=0, "    ---- ", IF(ABS(ROUND(100/B22*C22-100,1))&lt;999,ROUND(100/B22*C22-100,1),IF(ROUND(100/B22*C22-100,1)&gt;999,999,-999)))</f>
        <v>13.7</v>
      </c>
      <c r="E22" s="11">
        <f>IFERROR(100/'Skjema total MA'!C22*C22,0)</f>
        <v>18.37045017442199</v>
      </c>
      <c r="F22" s="316">
        <v>43160</v>
      </c>
      <c r="G22" s="316">
        <v>30176.843000000001</v>
      </c>
      <c r="H22" s="347">
        <f t="shared" ref="H22:H35" si="5">IF(F22=0, "    ---- ", IF(ABS(ROUND(100/F22*G22-100,1))&lt;999,ROUND(100/F22*G22-100,1),IF(ROUND(100/F22*G22-100,1)&gt;999,999,-999)))</f>
        <v>-30.1</v>
      </c>
      <c r="I22" s="11">
        <f>IFERROR(100/'Skjema total MA'!F22*G22,0)</f>
        <v>5.4514625693612935</v>
      </c>
      <c r="J22" s="314">
        <f t="shared" ref="J22:K35" si="6">SUM(B22,F22)</f>
        <v>210310</v>
      </c>
      <c r="K22" s="314">
        <f t="shared" si="6"/>
        <v>220143.3</v>
      </c>
      <c r="L22" s="370">
        <f t="shared" ref="L22:L39" si="7">IF(J22=0, "    ---- ", IF(ABS(ROUND(100/J22*K22-100,1))&lt;999,ROUND(100/J22*K22-100,1),IF(ROUND(100/J22*K22-100,1)&gt;999,999,-999)))</f>
        <v>4.7</v>
      </c>
      <c r="M22" s="24">
        <f>IFERROR(100/'Skjema total MA'!I22*K22,0)</f>
        <v>13.866053339960798</v>
      </c>
    </row>
    <row r="23" spans="1:14" ht="15.75" x14ac:dyDescent="0.2">
      <c r="A23" s="551" t="s">
        <v>374</v>
      </c>
      <c r="B23" s="279">
        <v>131988</v>
      </c>
      <c r="C23" s="279">
        <v>159133.91399999999</v>
      </c>
      <c r="D23" s="166">
        <f t="shared" si="4"/>
        <v>20.6</v>
      </c>
      <c r="E23" s="11">
        <f>IFERROR(100/'Skjema total MA'!C23*C23,0)</f>
        <v>20.925170178977346</v>
      </c>
      <c r="F23" s="288">
        <v>37014.091999999997</v>
      </c>
      <c r="G23" s="288">
        <v>17855.824000000001</v>
      </c>
      <c r="H23" s="166">
        <f t="shared" si="5"/>
        <v>-51.8</v>
      </c>
      <c r="I23" s="363">
        <f>IFERROR(100/'Skjema total MA'!F23*G23,0)</f>
        <v>41.664194852965203</v>
      </c>
      <c r="J23" s="288">
        <f t="shared" ref="J23:J25" si="8">SUM(B23,F23)</f>
        <v>169002.092</v>
      </c>
      <c r="K23" s="288">
        <f t="shared" ref="K23:K25" si="9">SUM(C23,G23)</f>
        <v>176989.73799999998</v>
      </c>
      <c r="L23" s="166">
        <f t="shared" si="7"/>
        <v>4.7</v>
      </c>
      <c r="M23" s="23">
        <f>IFERROR(100/'Skjema total MA'!I23*K23,0)</f>
        <v>22.031544504355278</v>
      </c>
    </row>
    <row r="24" spans="1:14" ht="15.75" x14ac:dyDescent="0.2">
      <c r="A24" s="551" t="s">
        <v>375</v>
      </c>
      <c r="B24" s="279">
        <v>0</v>
      </c>
      <c r="C24" s="279">
        <v>12466.335999999999</v>
      </c>
      <c r="D24" s="166" t="str">
        <f t="shared" si="4"/>
        <v xml:space="preserve">    ---- </v>
      </c>
      <c r="E24" s="11">
        <f>IFERROR(100/'Skjema total MA'!C24*C24,0)</f>
        <v>63.800174605502143</v>
      </c>
      <c r="F24" s="288">
        <v>0</v>
      </c>
      <c r="G24" s="288">
        <v>1363.5440000000001</v>
      </c>
      <c r="H24" s="166" t="str">
        <f t="shared" si="5"/>
        <v xml:space="preserve">    ---- </v>
      </c>
      <c r="I24" s="363">
        <f>IFERROR(100/'Skjema total MA'!F24*G24,0)</f>
        <v>138.09219499033887</v>
      </c>
      <c r="J24" s="288">
        <f t="shared" si="8"/>
        <v>0</v>
      </c>
      <c r="K24" s="288">
        <f t="shared" si="9"/>
        <v>13829.88</v>
      </c>
      <c r="L24" s="166" t="str">
        <f t="shared" si="7"/>
        <v xml:space="preserve">    ---- </v>
      </c>
      <c r="M24" s="23">
        <f>IFERROR(100/'Skjema total MA'!I24*K24,0)</f>
        <v>67.373850387881092</v>
      </c>
    </row>
    <row r="25" spans="1:14" ht="15.75" x14ac:dyDescent="0.2">
      <c r="A25" s="551" t="s">
        <v>376</v>
      </c>
      <c r="B25" s="279">
        <v>35162</v>
      </c>
      <c r="C25" s="279">
        <v>18366.206999999999</v>
      </c>
      <c r="D25" s="166">
        <f t="shared" si="4"/>
        <v>-47.8</v>
      </c>
      <c r="E25" s="11">
        <f>IFERROR(100/'Skjema total MA'!C25*C25,0)</f>
        <v>97.092440360797482</v>
      </c>
      <c r="F25" s="288">
        <v>6145.8850000000002</v>
      </c>
      <c r="G25" s="288">
        <v>10957.475</v>
      </c>
      <c r="H25" s="166">
        <f t="shared" si="5"/>
        <v>78.3</v>
      </c>
      <c r="I25" s="363">
        <f>IFERROR(100/'Skjema total MA'!F25*G25,0)</f>
        <v>54.325331643978835</v>
      </c>
      <c r="J25" s="288">
        <f t="shared" si="8"/>
        <v>41307.885000000002</v>
      </c>
      <c r="K25" s="288">
        <f t="shared" si="9"/>
        <v>29323.682000000001</v>
      </c>
      <c r="L25" s="166">
        <f t="shared" si="7"/>
        <v>-29</v>
      </c>
      <c r="M25" s="23">
        <f>IFERROR(100/'Skjema total MA'!I25*K25,0)</f>
        <v>75.022897992024696</v>
      </c>
    </row>
    <row r="26" spans="1:14" ht="15.75" x14ac:dyDescent="0.2">
      <c r="A26" s="551" t="s">
        <v>377</v>
      </c>
      <c r="B26" s="279"/>
      <c r="C26" s="279"/>
      <c r="D26" s="166"/>
      <c r="E26" s="11"/>
      <c r="F26" s="288"/>
      <c r="G26" s="288"/>
      <c r="H26" s="166"/>
      <c r="I26" s="363"/>
      <c r="J26" s="288"/>
      <c r="K26" s="288"/>
      <c r="L26" s="166"/>
      <c r="M26" s="23"/>
    </row>
    <row r="27" spans="1:14" x14ac:dyDescent="0.2">
      <c r="A27" s="551" t="s">
        <v>11</v>
      </c>
      <c r="B27" s="279"/>
      <c r="C27" s="279"/>
      <c r="D27" s="166"/>
      <c r="E27" s="11"/>
      <c r="F27" s="288"/>
      <c r="G27" s="288"/>
      <c r="H27" s="166"/>
      <c r="I27" s="363"/>
      <c r="J27" s="288"/>
      <c r="K27" s="288"/>
      <c r="L27" s="166"/>
      <c r="M27" s="23"/>
    </row>
    <row r="28" spans="1:14" ht="15.75" x14ac:dyDescent="0.2">
      <c r="A28" s="49" t="s">
        <v>282</v>
      </c>
      <c r="B28" s="44">
        <v>199585</v>
      </c>
      <c r="C28" s="285">
        <v>102640</v>
      </c>
      <c r="D28" s="166">
        <f t="shared" si="4"/>
        <v>-48.6</v>
      </c>
      <c r="E28" s="11">
        <f>IFERROR(100/'Skjema total MA'!C28*C28,0)</f>
        <v>9.8104615766147205</v>
      </c>
      <c r="F28" s="232"/>
      <c r="G28" s="285"/>
      <c r="H28" s="166"/>
      <c r="I28" s="27"/>
      <c r="J28" s="44">
        <f t="shared" si="6"/>
        <v>199585</v>
      </c>
      <c r="K28" s="44">
        <f t="shared" si="6"/>
        <v>102640</v>
      </c>
      <c r="L28" s="252">
        <f t="shared" si="7"/>
        <v>-48.6</v>
      </c>
      <c r="M28" s="23">
        <f>IFERROR(100/'Skjema total MA'!I28*K28,0)</f>
        <v>9.8104615766147205</v>
      </c>
    </row>
    <row r="29" spans="1:14" s="3" customFormat="1" ht="15.75" x14ac:dyDescent="0.2">
      <c r="A29" s="13" t="s">
        <v>371</v>
      </c>
      <c r="B29" s="234">
        <v>27411959</v>
      </c>
      <c r="C29" s="234">
        <v>25460090.129000001</v>
      </c>
      <c r="D29" s="171">
        <f t="shared" si="4"/>
        <v>-7.1</v>
      </c>
      <c r="E29" s="11">
        <f>IFERROR(100/'Skjema total MA'!C29*C29,0)</f>
        <v>53.649067161763568</v>
      </c>
      <c r="F29" s="306">
        <v>5628467.4380000001</v>
      </c>
      <c r="G29" s="306">
        <v>5391743.4249999998</v>
      </c>
      <c r="H29" s="171">
        <f t="shared" si="5"/>
        <v>-4.2</v>
      </c>
      <c r="I29" s="11">
        <f>IFERROR(100/'Skjema total MA'!F29*G29,0)</f>
        <v>26.388865564186965</v>
      </c>
      <c r="J29" s="234">
        <f t="shared" si="6"/>
        <v>33040426.438000001</v>
      </c>
      <c r="K29" s="234">
        <f t="shared" si="6"/>
        <v>30851833.554000001</v>
      </c>
      <c r="L29" s="371">
        <f t="shared" si="7"/>
        <v>-6.6</v>
      </c>
      <c r="M29" s="24">
        <f>IFERROR(100/'Skjema total MA'!I29*K29,0)</f>
        <v>45.444784276396952</v>
      </c>
      <c r="N29" s="148"/>
    </row>
    <row r="30" spans="1:14" s="3" customFormat="1" ht="15.75" x14ac:dyDescent="0.2">
      <c r="A30" s="551" t="s">
        <v>374</v>
      </c>
      <c r="B30" s="279">
        <v>6004150</v>
      </c>
      <c r="C30" s="279">
        <v>4559442.7879999997</v>
      </c>
      <c r="D30" s="166">
        <f t="shared" si="4"/>
        <v>-24.1</v>
      </c>
      <c r="E30" s="11">
        <f>IFERROR(100/'Skjema total MA'!C30*C30,0)</f>
        <v>43.583704831263319</v>
      </c>
      <c r="F30" s="288">
        <v>1894089.993</v>
      </c>
      <c r="G30" s="288">
        <v>1897365.1510000001</v>
      </c>
      <c r="H30" s="166">
        <f t="shared" si="5"/>
        <v>0.2</v>
      </c>
      <c r="I30" s="363">
        <f>IFERROR(100/'Skjema total MA'!F30*G30,0)</f>
        <v>44.583723739910901</v>
      </c>
      <c r="J30" s="288">
        <f t="shared" ref="J30:J32" si="10">SUM(B30,F30)</f>
        <v>7898239.9929999998</v>
      </c>
      <c r="K30" s="288">
        <f t="shared" ref="K30:K32" si="11">SUM(C30,G30)</f>
        <v>6456807.9389999993</v>
      </c>
      <c r="L30" s="166">
        <f t="shared" si="7"/>
        <v>-18.3</v>
      </c>
      <c r="M30" s="23">
        <f>IFERROR(100/'Skjema total MA'!I30*K30,0)</f>
        <v>43.872880047433313</v>
      </c>
      <c r="N30" s="148"/>
    </row>
    <row r="31" spans="1:14" s="3" customFormat="1" ht="15.75" x14ac:dyDescent="0.2">
      <c r="A31" s="551" t="s">
        <v>375</v>
      </c>
      <c r="B31" s="279">
        <v>20368358</v>
      </c>
      <c r="C31" s="279">
        <v>19759775.335999999</v>
      </c>
      <c r="D31" s="166">
        <f t="shared" si="4"/>
        <v>-3</v>
      </c>
      <c r="E31" s="11">
        <f>IFERROR(100/'Skjema total MA'!C31*C31,0)</f>
        <v>58.737074810131325</v>
      </c>
      <c r="F31" s="288">
        <v>3346893.301</v>
      </c>
      <c r="G31" s="288">
        <v>3082973.452</v>
      </c>
      <c r="H31" s="166">
        <f t="shared" si="5"/>
        <v>-7.9</v>
      </c>
      <c r="I31" s="363">
        <f>IFERROR(100/'Skjema total MA'!F31*G31,0)</f>
        <v>33.002711235349302</v>
      </c>
      <c r="J31" s="288">
        <f t="shared" si="10"/>
        <v>23715251.300999999</v>
      </c>
      <c r="K31" s="288">
        <f t="shared" si="11"/>
        <v>22842748.787999999</v>
      </c>
      <c r="L31" s="166">
        <f t="shared" si="7"/>
        <v>-3.7</v>
      </c>
      <c r="M31" s="23">
        <f>IFERROR(100/'Skjema total MA'!I31*K31,0)</f>
        <v>53.144129974578192</v>
      </c>
      <c r="N31" s="148"/>
    </row>
    <row r="32" spans="1:14" ht="15.75" x14ac:dyDescent="0.2">
      <c r="A32" s="551" t="s">
        <v>376</v>
      </c>
      <c r="B32" s="279">
        <v>1039451</v>
      </c>
      <c r="C32" s="279">
        <v>1140872.0049999999</v>
      </c>
      <c r="D32" s="166">
        <f t="shared" si="4"/>
        <v>9.8000000000000007</v>
      </c>
      <c r="E32" s="11">
        <f>IFERROR(100/'Skjema total MA'!C32*C32,0)</f>
        <v>78.645607173841043</v>
      </c>
      <c r="F32" s="288">
        <v>387484.14399999997</v>
      </c>
      <c r="G32" s="288">
        <v>411404.82199999999</v>
      </c>
      <c r="H32" s="166">
        <f t="shared" si="5"/>
        <v>6.2</v>
      </c>
      <c r="I32" s="363">
        <f>IFERROR(100/'Skjema total MA'!F32*G32,0)</f>
        <v>9.4953013497357972</v>
      </c>
      <c r="J32" s="288">
        <f t="shared" si="10"/>
        <v>1426935.1439999999</v>
      </c>
      <c r="K32" s="288">
        <f t="shared" si="11"/>
        <v>1552276.8269999998</v>
      </c>
      <c r="L32" s="166">
        <f t="shared" si="7"/>
        <v>8.8000000000000007</v>
      </c>
      <c r="M32" s="23">
        <f>IFERROR(100/'Skjema total MA'!I32*K32,0)</f>
        <v>26.840354192290871</v>
      </c>
    </row>
    <row r="33" spans="1:14" ht="15.75" x14ac:dyDescent="0.2">
      <c r="A33" s="551" t="s">
        <v>377</v>
      </c>
      <c r="B33" s="279"/>
      <c r="C33" s="279"/>
      <c r="D33" s="166"/>
      <c r="E33" s="11"/>
      <c r="F33" s="288"/>
      <c r="G33" s="288"/>
      <c r="H33" s="166"/>
      <c r="I33" s="363"/>
      <c r="J33" s="288"/>
      <c r="K33" s="288"/>
      <c r="L33" s="166"/>
      <c r="M33" s="23"/>
    </row>
    <row r="34" spans="1:14" ht="15.75" x14ac:dyDescent="0.2">
      <c r="A34" s="13" t="s">
        <v>372</v>
      </c>
      <c r="B34" s="234">
        <v>8948</v>
      </c>
      <c r="C34" s="307">
        <v>9545</v>
      </c>
      <c r="D34" s="171">
        <f t="shared" si="4"/>
        <v>6.7</v>
      </c>
      <c r="E34" s="11">
        <f>IFERROR(100/'Skjema total MA'!C34*C34,0)</f>
        <v>73.914712102002767</v>
      </c>
      <c r="F34" s="306">
        <v>-9703</v>
      </c>
      <c r="G34" s="307">
        <v>6324</v>
      </c>
      <c r="H34" s="171">
        <f t="shared" si="5"/>
        <v>-165.2</v>
      </c>
      <c r="I34" s="11">
        <f>IFERROR(100/'Skjema total MA'!F34*G34,0)</f>
        <v>16.24406756936493</v>
      </c>
      <c r="J34" s="234">
        <f t="shared" si="6"/>
        <v>-755</v>
      </c>
      <c r="K34" s="234">
        <f t="shared" si="6"/>
        <v>15869</v>
      </c>
      <c r="L34" s="371">
        <f t="shared" si="7"/>
        <v>-999</v>
      </c>
      <c r="M34" s="24">
        <f>IFERROR(100/'Skjema total MA'!I34*K34,0)</f>
        <v>30.608740845635474</v>
      </c>
    </row>
    <row r="35" spans="1:14" ht="15.75" x14ac:dyDescent="0.2">
      <c r="A35" s="13" t="s">
        <v>373</v>
      </c>
      <c r="B35" s="234">
        <v>-20382</v>
      </c>
      <c r="C35" s="307">
        <v>-13063</v>
      </c>
      <c r="D35" s="171">
        <f t="shared" si="4"/>
        <v>-35.9</v>
      </c>
      <c r="E35" s="11">
        <f>IFERROR(100/'Skjema total MA'!C35*C35,0)</f>
        <v>109.44830209283074</v>
      </c>
      <c r="F35" s="306">
        <v>20178</v>
      </c>
      <c r="G35" s="307">
        <v>19782</v>
      </c>
      <c r="H35" s="171">
        <f t="shared" si="5"/>
        <v>-2</v>
      </c>
      <c r="I35" s="11">
        <f>IFERROR(100/'Skjema total MA'!F35*G35,0)</f>
        <v>30.950070774137956</v>
      </c>
      <c r="J35" s="234">
        <f t="shared" si="6"/>
        <v>-204</v>
      </c>
      <c r="K35" s="234">
        <f t="shared" si="6"/>
        <v>6719</v>
      </c>
      <c r="L35" s="371">
        <f t="shared" si="7"/>
        <v>-999</v>
      </c>
      <c r="M35" s="24">
        <f>IFERROR(100/'Skjema total MA'!I35*K35,0)</f>
        <v>12.925993131663605</v>
      </c>
    </row>
    <row r="36" spans="1:14" ht="15.75" x14ac:dyDescent="0.2">
      <c r="A36" s="12" t="s">
        <v>290</v>
      </c>
      <c r="B36" s="234">
        <v>2345</v>
      </c>
      <c r="C36" s="307">
        <v>2112</v>
      </c>
      <c r="D36" s="171">
        <f t="shared" si="4"/>
        <v>-9.9</v>
      </c>
      <c r="E36" s="11">
        <f>100/'Skjema total MA'!C36*C36</f>
        <v>98.38136567496511</v>
      </c>
      <c r="F36" s="317"/>
      <c r="G36" s="318"/>
      <c r="H36" s="171"/>
      <c r="I36" s="377"/>
      <c r="J36" s="234">
        <f t="shared" ref="J36:J39" si="12">SUM(B36,F36)</f>
        <v>2345</v>
      </c>
      <c r="K36" s="234">
        <f t="shared" ref="K36:K39" si="13">SUM(C36,G36)</f>
        <v>2112</v>
      </c>
      <c r="L36" s="371">
        <f t="shared" si="7"/>
        <v>-9.9</v>
      </c>
      <c r="M36" s="24">
        <f>IFERROR(100/'Skjema total MA'!I36*K36,0)</f>
        <v>98.38136567496511</v>
      </c>
    </row>
    <row r="37" spans="1:14" ht="15.75" x14ac:dyDescent="0.2">
      <c r="A37" s="12" t="s">
        <v>379</v>
      </c>
      <c r="B37" s="234">
        <v>3443745</v>
      </c>
      <c r="C37" s="307">
        <v>3283883</v>
      </c>
      <c r="D37" s="171">
        <f t="shared" si="4"/>
        <v>-4.5999999999999996</v>
      </c>
      <c r="E37" s="11">
        <f>100/'Skjema total MA'!C37*C37</f>
        <v>87.588776992157079</v>
      </c>
      <c r="F37" s="317"/>
      <c r="G37" s="319"/>
      <c r="H37" s="171"/>
      <c r="I37" s="377"/>
      <c r="J37" s="234">
        <f t="shared" si="12"/>
        <v>3443745</v>
      </c>
      <c r="K37" s="234">
        <f t="shared" si="13"/>
        <v>3283883</v>
      </c>
      <c r="L37" s="371">
        <f t="shared" si="7"/>
        <v>-4.5999999999999996</v>
      </c>
      <c r="M37" s="24">
        <f>IFERROR(100/'Skjema total MA'!I37*K37,0)</f>
        <v>87.588776992157079</v>
      </c>
    </row>
    <row r="38" spans="1:14" ht="15.75" x14ac:dyDescent="0.2">
      <c r="A38" s="12" t="s">
        <v>380</v>
      </c>
      <c r="B38" s="234">
        <v>611</v>
      </c>
      <c r="C38" s="307">
        <v>0</v>
      </c>
      <c r="D38" s="171">
        <f t="shared" si="4"/>
        <v>-100</v>
      </c>
      <c r="E38" s="24">
        <f>IFERROR(100/'Skjema total MA'!C37*C38,0)</f>
        <v>0</v>
      </c>
      <c r="F38" s="317"/>
      <c r="G38" s="318"/>
      <c r="H38" s="171"/>
      <c r="I38" s="377"/>
      <c r="J38" s="234">
        <f t="shared" si="12"/>
        <v>611</v>
      </c>
      <c r="K38" s="234">
        <f t="shared" si="13"/>
        <v>0</v>
      </c>
      <c r="L38" s="371">
        <f t="shared" si="7"/>
        <v>-100</v>
      </c>
      <c r="M38" s="24">
        <f>IFERROR(100/'Skjema total MA'!I38*K38,0)</f>
        <v>0</v>
      </c>
    </row>
    <row r="39" spans="1:14" ht="15.75" x14ac:dyDescent="0.2">
      <c r="A39" s="18" t="s">
        <v>381</v>
      </c>
      <c r="B39" s="274">
        <v>3</v>
      </c>
      <c r="C39" s="313">
        <v>2</v>
      </c>
      <c r="D39" s="169">
        <f t="shared" si="4"/>
        <v>-33.299999999999997</v>
      </c>
      <c r="E39" s="36">
        <f>IFERROR(100/'Skjema total MA'!C38*C39,0)</f>
        <v>0</v>
      </c>
      <c r="F39" s="320"/>
      <c r="G39" s="321"/>
      <c r="H39" s="169"/>
      <c r="I39" s="36"/>
      <c r="J39" s="234">
        <f t="shared" si="12"/>
        <v>3</v>
      </c>
      <c r="K39" s="234">
        <f t="shared" si="13"/>
        <v>2</v>
      </c>
      <c r="L39" s="372">
        <f t="shared" si="7"/>
        <v>-33.299999999999997</v>
      </c>
      <c r="M39" s="36">
        <f>IFERROR(100/'Skjema total MA'!I39*K39,0)</f>
        <v>100</v>
      </c>
    </row>
    <row r="40" spans="1:14" ht="15.75" x14ac:dyDescent="0.25">
      <c r="A40" s="47"/>
      <c r="B40" s="251"/>
      <c r="C40" s="251"/>
      <c r="D40" s="699"/>
      <c r="E40" s="699"/>
      <c r="F40" s="699"/>
      <c r="G40" s="699"/>
      <c r="H40" s="699"/>
      <c r="I40" s="699"/>
      <c r="J40" s="699"/>
      <c r="K40" s="699"/>
      <c r="L40" s="699"/>
      <c r="M40" s="300"/>
    </row>
    <row r="41" spans="1:14" x14ac:dyDescent="0.2">
      <c r="A41" s="155"/>
    </row>
    <row r="42" spans="1:14" ht="15.75" x14ac:dyDescent="0.25">
      <c r="A42" s="147" t="s">
        <v>279</v>
      </c>
      <c r="B42" s="700"/>
      <c r="C42" s="700"/>
      <c r="D42" s="700"/>
      <c r="E42" s="297"/>
      <c r="F42" s="701"/>
      <c r="G42" s="701"/>
      <c r="H42" s="701"/>
      <c r="I42" s="300"/>
      <c r="J42" s="701"/>
      <c r="K42" s="701"/>
      <c r="L42" s="701"/>
      <c r="M42" s="300"/>
    </row>
    <row r="43" spans="1:14" ht="15.75" x14ac:dyDescent="0.25">
      <c r="A43" s="163"/>
      <c r="B43" s="301"/>
      <c r="C43" s="301"/>
      <c r="D43" s="301"/>
      <c r="E43" s="301"/>
      <c r="F43" s="300"/>
      <c r="G43" s="300"/>
      <c r="H43" s="300"/>
      <c r="I43" s="300"/>
      <c r="J43" s="300"/>
      <c r="K43" s="300"/>
      <c r="L43" s="300"/>
      <c r="M43" s="300"/>
    </row>
    <row r="44" spans="1:14" ht="15.75" x14ac:dyDescent="0.25">
      <c r="A44" s="245"/>
      <c r="B44" s="696" t="s">
        <v>0</v>
      </c>
      <c r="C44" s="697"/>
      <c r="D44" s="697"/>
      <c r="E44" s="241"/>
      <c r="F44" s="300"/>
      <c r="G44" s="300"/>
      <c r="H44" s="300"/>
      <c r="I44" s="300"/>
      <c r="J44" s="300"/>
      <c r="K44" s="300"/>
      <c r="L44" s="300"/>
      <c r="M44" s="300"/>
    </row>
    <row r="45" spans="1:14" s="3" customFormat="1" x14ac:dyDescent="0.2">
      <c r="A45" s="140"/>
      <c r="B45" s="152" t="s">
        <v>422</v>
      </c>
      <c r="C45" s="152" t="s">
        <v>423</v>
      </c>
      <c r="D45" s="162" t="s">
        <v>3</v>
      </c>
      <c r="E45" s="162" t="s">
        <v>29</v>
      </c>
      <c r="F45" s="174"/>
      <c r="G45" s="174"/>
      <c r="H45" s="173"/>
      <c r="I45" s="173"/>
      <c r="J45" s="174"/>
      <c r="K45" s="174"/>
      <c r="L45" s="173"/>
      <c r="M45" s="173"/>
      <c r="N45" s="148"/>
    </row>
    <row r="46" spans="1:14" s="3" customFormat="1" x14ac:dyDescent="0.2">
      <c r="A46" s="666"/>
      <c r="B46" s="242"/>
      <c r="C46" s="242"/>
      <c r="D46" s="243" t="s">
        <v>4</v>
      </c>
      <c r="E46" s="156" t="s">
        <v>30</v>
      </c>
      <c r="F46" s="173"/>
      <c r="G46" s="173"/>
      <c r="H46" s="173"/>
      <c r="I46" s="173"/>
      <c r="J46" s="173"/>
      <c r="K46" s="173"/>
      <c r="L46" s="173"/>
      <c r="M46" s="173"/>
      <c r="N46" s="148"/>
    </row>
    <row r="47" spans="1:14" s="3" customFormat="1" ht="15.75" x14ac:dyDescent="0.2">
      <c r="A47" s="14" t="s">
        <v>23</v>
      </c>
      <c r="B47" s="308">
        <v>432781</v>
      </c>
      <c r="C47" s="309">
        <v>549132</v>
      </c>
      <c r="D47" s="370">
        <f t="shared" ref="D47:D57" si="14">IF(B47=0, "    ---- ", IF(ABS(ROUND(100/B47*C47-100,1))&lt;999,ROUND(100/B47*C47-100,1),IF(ROUND(100/B47*C47-100,1)&gt;999,999,-999)))</f>
        <v>26.9</v>
      </c>
      <c r="E47" s="11">
        <f>IFERROR(100/'Skjema total MA'!C47*C47,0)</f>
        <v>17.008863095434805</v>
      </c>
      <c r="F47" s="145"/>
      <c r="G47" s="33"/>
      <c r="H47" s="159"/>
      <c r="I47" s="159"/>
      <c r="J47" s="37"/>
      <c r="K47" s="37"/>
      <c r="L47" s="159"/>
      <c r="M47" s="159"/>
      <c r="N47" s="148"/>
    </row>
    <row r="48" spans="1:14" s="3" customFormat="1" ht="15.75" x14ac:dyDescent="0.2">
      <c r="A48" s="38" t="s">
        <v>382</v>
      </c>
      <c r="B48" s="279">
        <v>292741</v>
      </c>
      <c r="C48" s="280">
        <v>377216</v>
      </c>
      <c r="D48" s="252">
        <f t="shared" si="14"/>
        <v>28.9</v>
      </c>
      <c r="E48" s="27">
        <f>IFERROR(100/'Skjema total MA'!C48*C48,0)</f>
        <v>20.760162367478209</v>
      </c>
      <c r="F48" s="145"/>
      <c r="G48" s="33"/>
      <c r="H48" s="145"/>
      <c r="I48" s="145"/>
      <c r="J48" s="33"/>
      <c r="K48" s="33"/>
      <c r="L48" s="159"/>
      <c r="M48" s="159"/>
      <c r="N48" s="148"/>
    </row>
    <row r="49" spans="1:14" s="3" customFormat="1" ht="15.75" x14ac:dyDescent="0.2">
      <c r="A49" s="38" t="s">
        <v>383</v>
      </c>
      <c r="B49" s="44">
        <v>140040</v>
      </c>
      <c r="C49" s="285">
        <v>171916</v>
      </c>
      <c r="D49" s="252">
        <f>IF(B49=0, "    ---- ", IF(ABS(ROUND(100/B49*C49-100,1))&lt;999,ROUND(100/B49*C49-100,1),IF(ROUND(100/B49*C49-100,1)&gt;999,999,-999)))</f>
        <v>22.8</v>
      </c>
      <c r="E49" s="27">
        <f>IFERROR(100/'Skjema total MA'!C49*C49,0)</f>
        <v>12.179783663016268</v>
      </c>
      <c r="F49" s="145"/>
      <c r="G49" s="33"/>
      <c r="H49" s="145"/>
      <c r="I49" s="145"/>
      <c r="J49" s="37"/>
      <c r="K49" s="37"/>
      <c r="L49" s="159"/>
      <c r="M49" s="159"/>
      <c r="N49" s="148"/>
    </row>
    <row r="50" spans="1:14" s="3" customFormat="1" x14ac:dyDescent="0.2">
      <c r="A50" s="294" t="s">
        <v>6</v>
      </c>
      <c r="B50" s="288" t="s">
        <v>415</v>
      </c>
      <c r="C50" s="289" t="s">
        <v>415</v>
      </c>
      <c r="D50" s="252"/>
      <c r="E50" s="23"/>
      <c r="F50" s="145"/>
      <c r="G50" s="33"/>
      <c r="H50" s="145"/>
      <c r="I50" s="145"/>
      <c r="J50" s="33"/>
      <c r="K50" s="33"/>
      <c r="L50" s="159"/>
      <c r="M50" s="159"/>
      <c r="N50" s="148"/>
    </row>
    <row r="51" spans="1:14" s="3" customFormat="1" x14ac:dyDescent="0.2">
      <c r="A51" s="294" t="s">
        <v>7</v>
      </c>
      <c r="B51" s="288" t="s">
        <v>415</v>
      </c>
      <c r="C51" s="289" t="s">
        <v>415</v>
      </c>
      <c r="D51" s="252"/>
      <c r="E51" s="23"/>
      <c r="F51" s="145"/>
      <c r="G51" s="33"/>
      <c r="H51" s="145"/>
      <c r="I51" s="145"/>
      <c r="J51" s="33"/>
      <c r="K51" s="33"/>
      <c r="L51" s="159"/>
      <c r="M51" s="159"/>
      <c r="N51" s="148"/>
    </row>
    <row r="52" spans="1:14" s="3" customFormat="1" x14ac:dyDescent="0.2">
      <c r="A52" s="294" t="s">
        <v>8</v>
      </c>
      <c r="B52" s="288" t="s">
        <v>415</v>
      </c>
      <c r="C52" s="289" t="s">
        <v>415</v>
      </c>
      <c r="D52" s="252"/>
      <c r="E52" s="23"/>
      <c r="F52" s="145"/>
      <c r="G52" s="33"/>
      <c r="H52" s="145"/>
      <c r="I52" s="145"/>
      <c r="J52" s="33"/>
      <c r="K52" s="33"/>
      <c r="L52" s="159"/>
      <c r="M52" s="159"/>
      <c r="N52" s="148"/>
    </row>
    <row r="53" spans="1:14" s="3" customFormat="1" ht="15.75" x14ac:dyDescent="0.2">
      <c r="A53" s="39" t="s">
        <v>384</v>
      </c>
      <c r="B53" s="308">
        <v>17191</v>
      </c>
      <c r="C53" s="309">
        <v>66162</v>
      </c>
      <c r="D53" s="371">
        <f t="shared" si="14"/>
        <v>284.89999999999998</v>
      </c>
      <c r="E53" s="11">
        <f>IFERROR(100/'Skjema total MA'!C53*C53,0)</f>
        <v>34.686844460869757</v>
      </c>
      <c r="F53" s="145"/>
      <c r="G53" s="33"/>
      <c r="H53" s="145"/>
      <c r="I53" s="145"/>
      <c r="J53" s="33"/>
      <c r="K53" s="33"/>
      <c r="L53" s="159"/>
      <c r="M53" s="159"/>
      <c r="N53" s="148"/>
    </row>
    <row r="54" spans="1:14" s="3" customFormat="1" ht="15.75" x14ac:dyDescent="0.2">
      <c r="A54" s="38" t="s">
        <v>382</v>
      </c>
      <c r="B54" s="279">
        <v>17191</v>
      </c>
      <c r="C54" s="280">
        <v>66162</v>
      </c>
      <c r="D54" s="252">
        <f t="shared" si="14"/>
        <v>284.89999999999998</v>
      </c>
      <c r="E54" s="27">
        <f>IFERROR(100/'Skjema total MA'!C54*C54,0)</f>
        <v>63.810640434419284</v>
      </c>
      <c r="F54" s="145"/>
      <c r="G54" s="33"/>
      <c r="H54" s="145"/>
      <c r="I54" s="145"/>
      <c r="J54" s="33"/>
      <c r="K54" s="33"/>
      <c r="L54" s="159"/>
      <c r="M54" s="159"/>
      <c r="N54" s="148"/>
    </row>
    <row r="55" spans="1:14" s="3" customFormat="1" ht="15.75" x14ac:dyDescent="0.2">
      <c r="A55" s="38" t="s">
        <v>383</v>
      </c>
      <c r="B55" s="279"/>
      <c r="C55" s="280"/>
      <c r="D55" s="252"/>
      <c r="E55" s="27"/>
      <c r="F55" s="145"/>
      <c r="G55" s="33"/>
      <c r="H55" s="145"/>
      <c r="I55" s="145"/>
      <c r="J55" s="33"/>
      <c r="K55" s="33"/>
      <c r="L55" s="159"/>
      <c r="M55" s="159"/>
      <c r="N55" s="148"/>
    </row>
    <row r="56" spans="1:14" s="3" customFormat="1" ht="15.75" x14ac:dyDescent="0.2">
      <c r="A56" s="39" t="s">
        <v>385</v>
      </c>
      <c r="B56" s="308">
        <v>11472</v>
      </c>
      <c r="C56" s="309">
        <v>7999</v>
      </c>
      <c r="D56" s="371">
        <f t="shared" si="14"/>
        <v>-30.3</v>
      </c>
      <c r="E56" s="11">
        <f>IFERROR(100/'Skjema total MA'!C56*C56,0)</f>
        <v>5.1412903260680363</v>
      </c>
      <c r="F56" s="145"/>
      <c r="G56" s="33"/>
      <c r="H56" s="145"/>
      <c r="I56" s="145"/>
      <c r="J56" s="33"/>
      <c r="K56" s="33"/>
      <c r="L56" s="159"/>
      <c r="M56" s="159"/>
      <c r="N56" s="148"/>
    </row>
    <row r="57" spans="1:14" s="3" customFormat="1" ht="15.75" x14ac:dyDescent="0.2">
      <c r="A57" s="38" t="s">
        <v>382</v>
      </c>
      <c r="B57" s="279">
        <v>11472</v>
      </c>
      <c r="C57" s="280">
        <v>7999</v>
      </c>
      <c r="D57" s="252">
        <f t="shared" si="14"/>
        <v>-30.3</v>
      </c>
      <c r="E57" s="27">
        <f>IFERROR(100/'Skjema total MA'!C57*C57,0)</f>
        <v>8.9885496058826071</v>
      </c>
      <c r="F57" s="145"/>
      <c r="G57" s="33"/>
      <c r="H57" s="145"/>
      <c r="I57" s="145"/>
      <c r="J57" s="33"/>
      <c r="K57" s="33"/>
      <c r="L57" s="159"/>
      <c r="M57" s="159"/>
      <c r="N57" s="148"/>
    </row>
    <row r="58" spans="1:14" s="3" customFormat="1" ht="15.75" x14ac:dyDescent="0.2">
      <c r="A58" s="46" t="s">
        <v>383</v>
      </c>
      <c r="B58" s="281"/>
      <c r="C58" s="282"/>
      <c r="D58" s="253"/>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95"/>
      <c r="C62" s="695"/>
      <c r="D62" s="695"/>
      <c r="E62" s="297"/>
      <c r="F62" s="695"/>
      <c r="G62" s="695"/>
      <c r="H62" s="695"/>
      <c r="I62" s="297"/>
      <c r="J62" s="695"/>
      <c r="K62" s="695"/>
      <c r="L62" s="695"/>
      <c r="M62" s="297"/>
    </row>
    <row r="63" spans="1:14" x14ac:dyDescent="0.2">
      <c r="A63" s="144"/>
      <c r="B63" s="696" t="s">
        <v>0</v>
      </c>
      <c r="C63" s="697"/>
      <c r="D63" s="698"/>
      <c r="E63" s="298"/>
      <c r="F63" s="697" t="s">
        <v>1</v>
      </c>
      <c r="G63" s="697"/>
      <c r="H63" s="697"/>
      <c r="I63" s="302"/>
      <c r="J63" s="696" t="s">
        <v>2</v>
      </c>
      <c r="K63" s="697"/>
      <c r="L63" s="697"/>
      <c r="M63" s="302"/>
    </row>
    <row r="64" spans="1:14" x14ac:dyDescent="0.2">
      <c r="A64" s="140"/>
      <c r="B64" s="152" t="s">
        <v>422</v>
      </c>
      <c r="C64" s="152" t="s">
        <v>423</v>
      </c>
      <c r="D64" s="243" t="s">
        <v>3</v>
      </c>
      <c r="E64" s="303" t="s">
        <v>29</v>
      </c>
      <c r="F64" s="152" t="s">
        <v>422</v>
      </c>
      <c r="G64" s="152" t="s">
        <v>423</v>
      </c>
      <c r="H64" s="243" t="s">
        <v>3</v>
      </c>
      <c r="I64" s="303" t="s">
        <v>29</v>
      </c>
      <c r="J64" s="152" t="s">
        <v>422</v>
      </c>
      <c r="K64" s="152" t="s">
        <v>423</v>
      </c>
      <c r="L64" s="243" t="s">
        <v>3</v>
      </c>
      <c r="M64" s="162" t="s">
        <v>29</v>
      </c>
    </row>
    <row r="65" spans="1:14" x14ac:dyDescent="0.2">
      <c r="A65" s="666"/>
      <c r="B65" s="156"/>
      <c r="C65" s="156"/>
      <c r="D65" s="244" t="s">
        <v>4</v>
      </c>
      <c r="E65" s="156" t="s">
        <v>30</v>
      </c>
      <c r="F65" s="161"/>
      <c r="G65" s="161"/>
      <c r="H65" s="243" t="s">
        <v>4</v>
      </c>
      <c r="I65" s="156" t="s">
        <v>30</v>
      </c>
      <c r="J65" s="161"/>
      <c r="K65" s="205"/>
      <c r="L65" s="156" t="s">
        <v>4</v>
      </c>
      <c r="M65" s="156" t="s">
        <v>30</v>
      </c>
    </row>
    <row r="66" spans="1:14" ht="15.75" x14ac:dyDescent="0.2">
      <c r="A66" s="14" t="s">
        <v>23</v>
      </c>
      <c r="B66" s="350">
        <v>1718326</v>
      </c>
      <c r="C66" s="350">
        <v>1628001.4401199999</v>
      </c>
      <c r="D66" s="347">
        <f t="shared" ref="D66:D111" si="15">IF(B66=0, "    ---- ", IF(ABS(ROUND(100/B66*C66-100,1))&lt;999,ROUND(100/B66*C66-100,1),IF(ROUND(100/B66*C66-100,1)&gt;999,999,-999)))</f>
        <v>-5.3</v>
      </c>
      <c r="E66" s="11">
        <f>IFERROR(100/'Skjema total MA'!C66*C66,0)</f>
        <v>30.308728159685455</v>
      </c>
      <c r="F66" s="349">
        <v>3864318</v>
      </c>
      <c r="G66" s="349">
        <v>4512273</v>
      </c>
      <c r="H66" s="347">
        <f t="shared" ref="H66:H111" si="16">IF(F66=0, "    ---- ", IF(ABS(ROUND(100/F66*G66-100,1))&lt;999,ROUND(100/F66*G66-100,1),IF(ROUND(100/F66*G66-100,1)&gt;999,999,-999)))</f>
        <v>16.8</v>
      </c>
      <c r="I66" s="11">
        <f>IFERROR(100/'Skjema total MA'!F66*G66,0)</f>
        <v>28.697265359794748</v>
      </c>
      <c r="J66" s="307">
        <f t="shared" ref="J66:K86" si="17">SUM(B66,F66)</f>
        <v>5582644</v>
      </c>
      <c r="K66" s="314">
        <f t="shared" si="17"/>
        <v>6140274.4401200004</v>
      </c>
      <c r="L66" s="371">
        <f t="shared" ref="L66:L111" si="18">IF(J66=0, "    ---- ", IF(ABS(ROUND(100/J66*K66-100,1))&lt;999,ROUND(100/J66*K66-100,1),IF(ROUND(100/J66*K66-100,1)&gt;999,999,-999)))</f>
        <v>10</v>
      </c>
      <c r="M66" s="11">
        <f>IFERROR(100/'Skjema total MA'!I66*K66,0)</f>
        <v>29.107588299777923</v>
      </c>
    </row>
    <row r="67" spans="1:14" x14ac:dyDescent="0.2">
      <c r="A67" s="21" t="s">
        <v>9</v>
      </c>
      <c r="B67" s="44">
        <v>1701707</v>
      </c>
      <c r="C67" s="145">
        <v>1473312.4401199999</v>
      </c>
      <c r="D67" s="166">
        <f t="shared" si="15"/>
        <v>-13.4</v>
      </c>
      <c r="E67" s="27">
        <f>IFERROR(100/'Skjema total MA'!C67*C67,0)</f>
        <v>35.297206413287476</v>
      </c>
      <c r="F67" s="232"/>
      <c r="G67" s="145"/>
      <c r="H67" s="166"/>
      <c r="I67" s="27"/>
      <c r="J67" s="285">
        <f t="shared" si="17"/>
        <v>1701707</v>
      </c>
      <c r="K67" s="44">
        <f t="shared" si="17"/>
        <v>1473312.4401199999</v>
      </c>
      <c r="L67" s="252">
        <f t="shared" si="18"/>
        <v>-13.4</v>
      </c>
      <c r="M67" s="27">
        <f>IFERROR(100/'Skjema total MA'!I67*K67,0)</f>
        <v>35.297206413287476</v>
      </c>
    </row>
    <row r="68" spans="1:14" x14ac:dyDescent="0.2">
      <c r="A68" s="21" t="s">
        <v>10</v>
      </c>
      <c r="B68" s="290"/>
      <c r="C68" s="291"/>
      <c r="D68" s="166"/>
      <c r="E68" s="27"/>
      <c r="F68" s="290">
        <v>3864318</v>
      </c>
      <c r="G68" s="291">
        <v>4512273</v>
      </c>
      <c r="H68" s="166">
        <f t="shared" si="16"/>
        <v>16.8</v>
      </c>
      <c r="I68" s="27">
        <f>IFERROR(100/'Skjema total MA'!F68*G68,0)</f>
        <v>29.082946025532987</v>
      </c>
      <c r="J68" s="285">
        <f t="shared" si="17"/>
        <v>3864318</v>
      </c>
      <c r="K68" s="44">
        <f t="shared" si="17"/>
        <v>4512273</v>
      </c>
      <c r="L68" s="252">
        <f t="shared" si="18"/>
        <v>16.8</v>
      </c>
      <c r="M68" s="27">
        <f>IFERROR(100/'Skjema total MA'!I68*K68,0)</f>
        <v>28.871813905976232</v>
      </c>
    </row>
    <row r="69" spans="1:14" ht="15.75" x14ac:dyDescent="0.2">
      <c r="A69" s="294" t="s">
        <v>386</v>
      </c>
      <c r="B69" s="279"/>
      <c r="C69" s="279"/>
      <c r="D69" s="166"/>
      <c r="E69" s="363"/>
      <c r="F69" s="279"/>
      <c r="G69" s="279"/>
      <c r="H69" s="166"/>
      <c r="I69" s="363"/>
      <c r="J69" s="288"/>
      <c r="K69" s="288"/>
      <c r="L69" s="166"/>
      <c r="M69" s="23"/>
    </row>
    <row r="70" spans="1:14" x14ac:dyDescent="0.2">
      <c r="A70" s="294" t="s">
        <v>12</v>
      </c>
      <c r="B70" s="292"/>
      <c r="C70" s="293"/>
      <c r="D70" s="166"/>
      <c r="E70" s="363"/>
      <c r="F70" s="279"/>
      <c r="G70" s="279"/>
      <c r="H70" s="166"/>
      <c r="I70" s="363"/>
      <c r="J70" s="288"/>
      <c r="K70" s="288"/>
      <c r="L70" s="166"/>
      <c r="M70" s="23"/>
    </row>
    <row r="71" spans="1:14" x14ac:dyDescent="0.2">
      <c r="A71" s="294" t="s">
        <v>13</v>
      </c>
      <c r="B71" s="233"/>
      <c r="C71" s="287"/>
      <c r="D71" s="166"/>
      <c r="E71" s="363"/>
      <c r="F71" s="279"/>
      <c r="G71" s="279"/>
      <c r="H71" s="166"/>
      <c r="I71" s="363"/>
      <c r="J71" s="288"/>
      <c r="K71" s="288"/>
      <c r="L71" s="166"/>
      <c r="M71" s="23"/>
    </row>
    <row r="72" spans="1:14" ht="15.75" x14ac:dyDescent="0.2">
      <c r="A72" s="294" t="s">
        <v>387</v>
      </c>
      <c r="B72" s="279"/>
      <c r="C72" s="279"/>
      <c r="D72" s="166"/>
      <c r="E72" s="363"/>
      <c r="F72" s="279"/>
      <c r="G72" s="279"/>
      <c r="H72" s="166"/>
      <c r="I72" s="363"/>
      <c r="J72" s="288"/>
      <c r="K72" s="288"/>
      <c r="L72" s="166"/>
      <c r="M72" s="23"/>
    </row>
    <row r="73" spans="1:14" x14ac:dyDescent="0.2">
      <c r="A73" s="294" t="s">
        <v>12</v>
      </c>
      <c r="B73" s="233"/>
      <c r="C73" s="287"/>
      <c r="D73" s="166"/>
      <c r="E73" s="363"/>
      <c r="F73" s="279"/>
      <c r="G73" s="279"/>
      <c r="H73" s="166"/>
      <c r="I73" s="363"/>
      <c r="J73" s="288"/>
      <c r="K73" s="288"/>
      <c r="L73" s="166"/>
      <c r="M73" s="23"/>
    </row>
    <row r="74" spans="1:14" s="3" customFormat="1" x14ac:dyDescent="0.2">
      <c r="A74" s="294" t="s">
        <v>13</v>
      </c>
      <c r="B74" s="233"/>
      <c r="C74" s="287"/>
      <c r="D74" s="166"/>
      <c r="E74" s="363"/>
      <c r="F74" s="279"/>
      <c r="G74" s="279"/>
      <c r="H74" s="166"/>
      <c r="I74" s="363"/>
      <c r="J74" s="288"/>
      <c r="K74" s="288"/>
      <c r="L74" s="166"/>
      <c r="M74" s="23"/>
      <c r="N74" s="148"/>
    </row>
    <row r="75" spans="1:14" s="3" customFormat="1" x14ac:dyDescent="0.2">
      <c r="A75" s="21" t="s">
        <v>356</v>
      </c>
      <c r="B75" s="232"/>
      <c r="C75" s="145"/>
      <c r="D75" s="166"/>
      <c r="E75" s="27"/>
      <c r="F75" s="232"/>
      <c r="G75" s="145"/>
      <c r="H75" s="166"/>
      <c r="I75" s="27"/>
      <c r="J75" s="285"/>
      <c r="K75" s="44"/>
      <c r="L75" s="252"/>
      <c r="M75" s="27"/>
      <c r="N75" s="148"/>
    </row>
    <row r="76" spans="1:14" s="3" customFormat="1" x14ac:dyDescent="0.2">
      <c r="A76" s="21" t="s">
        <v>355</v>
      </c>
      <c r="B76" s="232">
        <v>16619</v>
      </c>
      <c r="C76" s="145">
        <v>154689</v>
      </c>
      <c r="D76" s="166">
        <f t="shared" ref="D76" si="19">IF(B76=0, "    ---- ", IF(ABS(ROUND(100/B76*C76-100,1))&lt;999,ROUND(100/B76*C76-100,1),IF(ROUND(100/B76*C76-100,1)&gt;999,999,-999)))</f>
        <v>830.8</v>
      </c>
      <c r="E76" s="27">
        <f>IFERROR(100/'Skjema total MA'!C77*C76,0)</f>
        <v>3.662479818738416</v>
      </c>
      <c r="F76" s="232"/>
      <c r="G76" s="145"/>
      <c r="H76" s="166"/>
      <c r="I76" s="27"/>
      <c r="J76" s="285">
        <f t="shared" ref="J76" si="20">SUM(B76,F76)</f>
        <v>16619</v>
      </c>
      <c r="K76" s="44">
        <f t="shared" ref="K76" si="21">SUM(C76,G76)</f>
        <v>154689</v>
      </c>
      <c r="L76" s="252">
        <f t="shared" ref="L76" si="22">IF(J76=0, "    ---- ", IF(ABS(ROUND(100/J76*K76-100,1))&lt;999,ROUND(100/J76*K76-100,1),IF(ROUND(100/J76*K76-100,1)&gt;999,999,-999)))</f>
        <v>830.8</v>
      </c>
      <c r="M76" s="27">
        <f>IFERROR(100/'Skjema total MA'!I77*K76,0)</f>
        <v>0.78394724880783173</v>
      </c>
      <c r="N76" s="148"/>
    </row>
    <row r="77" spans="1:14" ht="15.75" x14ac:dyDescent="0.2">
      <c r="A77" s="21" t="s">
        <v>388</v>
      </c>
      <c r="B77" s="232">
        <v>1679695</v>
      </c>
      <c r="C77" s="232">
        <v>1473184.767</v>
      </c>
      <c r="D77" s="166">
        <f t="shared" si="15"/>
        <v>-12.3</v>
      </c>
      <c r="E77" s="27">
        <f>IFERROR(100/'Skjema total MA'!C77*C77,0)</f>
        <v>34.879723046954567</v>
      </c>
      <c r="F77" s="232">
        <v>3864318</v>
      </c>
      <c r="G77" s="145">
        <v>4512273</v>
      </c>
      <c r="H77" s="166">
        <f t="shared" si="16"/>
        <v>16.8</v>
      </c>
      <c r="I77" s="27">
        <f>IFERROR(100/'Skjema total MA'!F77*G77,0)</f>
        <v>29.095569901344678</v>
      </c>
      <c r="J77" s="285">
        <f t="shared" si="17"/>
        <v>5544013</v>
      </c>
      <c r="K77" s="44">
        <f t="shared" si="17"/>
        <v>5985457.767</v>
      </c>
      <c r="L77" s="252">
        <f t="shared" si="18"/>
        <v>8</v>
      </c>
      <c r="M77" s="27">
        <f>IFERROR(100/'Skjema total MA'!I77*K77,0)</f>
        <v>30.333657527653017</v>
      </c>
    </row>
    <row r="78" spans="1:14" x14ac:dyDescent="0.2">
      <c r="A78" s="21" t="s">
        <v>9</v>
      </c>
      <c r="B78" s="232">
        <v>1679695</v>
      </c>
      <c r="C78" s="145">
        <v>1473184.767</v>
      </c>
      <c r="D78" s="166">
        <f t="shared" si="15"/>
        <v>-12.3</v>
      </c>
      <c r="E78" s="27">
        <f>IFERROR(100/'Skjema total MA'!C78*C78,0)</f>
        <v>35.824416504460345</v>
      </c>
      <c r="F78" s="232"/>
      <c r="G78" s="145"/>
      <c r="H78" s="166"/>
      <c r="I78" s="27"/>
      <c r="J78" s="285">
        <f t="shared" si="17"/>
        <v>1679695</v>
      </c>
      <c r="K78" s="44">
        <f t="shared" si="17"/>
        <v>1473184.767</v>
      </c>
      <c r="L78" s="252">
        <f t="shared" si="18"/>
        <v>-12.3</v>
      </c>
      <c r="M78" s="27">
        <f>IFERROR(100/'Skjema total MA'!I78*K78,0)</f>
        <v>35.824416504460345</v>
      </c>
    </row>
    <row r="79" spans="1:14" x14ac:dyDescent="0.2">
      <c r="A79" s="21" t="s">
        <v>10</v>
      </c>
      <c r="B79" s="290"/>
      <c r="C79" s="291"/>
      <c r="D79" s="166"/>
      <c r="E79" s="27"/>
      <c r="F79" s="290">
        <v>3864318</v>
      </c>
      <c r="G79" s="291">
        <v>4512273</v>
      </c>
      <c r="H79" s="166">
        <f t="shared" si="16"/>
        <v>16.8</v>
      </c>
      <c r="I79" s="27">
        <f>IFERROR(100/'Skjema total MA'!F79*G79,0)</f>
        <v>29.095569901344678</v>
      </c>
      <c r="J79" s="285">
        <f t="shared" si="17"/>
        <v>3864318</v>
      </c>
      <c r="K79" s="44">
        <f t="shared" si="17"/>
        <v>4512273</v>
      </c>
      <c r="L79" s="252">
        <f t="shared" si="18"/>
        <v>16.8</v>
      </c>
      <c r="M79" s="27">
        <f>IFERROR(100/'Skjema total MA'!I79*K79,0)</f>
        <v>28.888104101280177</v>
      </c>
    </row>
    <row r="80" spans="1:14" ht="15.75" x14ac:dyDescent="0.2">
      <c r="A80" s="294" t="s">
        <v>386</v>
      </c>
      <c r="B80" s="279"/>
      <c r="C80" s="279"/>
      <c r="D80" s="166"/>
      <c r="E80" s="363"/>
      <c r="F80" s="279"/>
      <c r="G80" s="279"/>
      <c r="H80" s="166"/>
      <c r="I80" s="363"/>
      <c r="J80" s="288"/>
      <c r="K80" s="288"/>
      <c r="L80" s="166"/>
      <c r="M80" s="23"/>
    </row>
    <row r="81" spans="1:13" x14ac:dyDescent="0.2">
      <c r="A81" s="294" t="s">
        <v>12</v>
      </c>
      <c r="B81" s="233"/>
      <c r="C81" s="287"/>
      <c r="D81" s="166"/>
      <c r="E81" s="363"/>
      <c r="F81" s="279"/>
      <c r="G81" s="279"/>
      <c r="H81" s="166"/>
      <c r="I81" s="363"/>
      <c r="J81" s="288"/>
      <c r="K81" s="288"/>
      <c r="L81" s="166"/>
      <c r="M81" s="23"/>
    </row>
    <row r="82" spans="1:13" x14ac:dyDescent="0.2">
      <c r="A82" s="294" t="s">
        <v>13</v>
      </c>
      <c r="B82" s="233"/>
      <c r="C82" s="287"/>
      <c r="D82" s="166"/>
      <c r="E82" s="363"/>
      <c r="F82" s="279"/>
      <c r="G82" s="279"/>
      <c r="H82" s="166"/>
      <c r="I82" s="363"/>
      <c r="J82" s="288"/>
      <c r="K82" s="288"/>
      <c r="L82" s="166"/>
      <c r="M82" s="23"/>
    </row>
    <row r="83" spans="1:13" ht="15.75" x14ac:dyDescent="0.2">
      <c r="A83" s="294" t="s">
        <v>387</v>
      </c>
      <c r="B83" s="279"/>
      <c r="C83" s="279"/>
      <c r="D83" s="166"/>
      <c r="E83" s="363"/>
      <c r="F83" s="279"/>
      <c r="G83" s="279"/>
      <c r="H83" s="166"/>
      <c r="I83" s="363"/>
      <c r="J83" s="288"/>
      <c r="K83" s="288"/>
      <c r="L83" s="166"/>
      <c r="M83" s="23"/>
    </row>
    <row r="84" spans="1:13" x14ac:dyDescent="0.2">
      <c r="A84" s="294" t="s">
        <v>12</v>
      </c>
      <c r="B84" s="233"/>
      <c r="C84" s="287"/>
      <c r="D84" s="166"/>
      <c r="E84" s="363"/>
      <c r="F84" s="279"/>
      <c r="G84" s="279"/>
      <c r="H84" s="166"/>
      <c r="I84" s="363"/>
      <c r="J84" s="288"/>
      <c r="K84" s="288"/>
      <c r="L84" s="166"/>
      <c r="M84" s="23"/>
    </row>
    <row r="85" spans="1:13" x14ac:dyDescent="0.2">
      <c r="A85" s="294" t="s">
        <v>13</v>
      </c>
      <c r="B85" s="233"/>
      <c r="C85" s="287"/>
      <c r="D85" s="166"/>
      <c r="E85" s="363"/>
      <c r="F85" s="279"/>
      <c r="G85" s="279"/>
      <c r="H85" s="166"/>
      <c r="I85" s="363"/>
      <c r="J85" s="288"/>
      <c r="K85" s="288"/>
      <c r="L85" s="166"/>
      <c r="M85" s="23"/>
    </row>
    <row r="86" spans="1:13" ht="15.75" x14ac:dyDescent="0.2">
      <c r="A86" s="21" t="s">
        <v>389</v>
      </c>
      <c r="B86" s="232">
        <v>22012</v>
      </c>
      <c r="C86" s="145">
        <v>127.233</v>
      </c>
      <c r="D86" s="166">
        <f t="shared" si="15"/>
        <v>-99.4</v>
      </c>
      <c r="E86" s="27">
        <f>IFERROR(100/'Skjema total MA'!C86*C86,0)</f>
        <v>0.19922383921732853</v>
      </c>
      <c r="F86" s="232"/>
      <c r="G86" s="145"/>
      <c r="H86" s="166"/>
      <c r="I86" s="27"/>
      <c r="J86" s="285">
        <f t="shared" si="17"/>
        <v>22012</v>
      </c>
      <c r="K86" s="44">
        <f t="shared" si="17"/>
        <v>127.233</v>
      </c>
      <c r="L86" s="252">
        <f t="shared" si="18"/>
        <v>-99.4</v>
      </c>
      <c r="M86" s="27">
        <f>IFERROR(100/'Skjema total MA'!I86*K86,0)</f>
        <v>0.18022688684636204</v>
      </c>
    </row>
    <row r="87" spans="1:13" ht="15.75" x14ac:dyDescent="0.2">
      <c r="A87" s="13" t="s">
        <v>371</v>
      </c>
      <c r="B87" s="350">
        <v>155895826</v>
      </c>
      <c r="C87" s="350">
        <v>157339571</v>
      </c>
      <c r="D87" s="171">
        <f t="shared" si="15"/>
        <v>0.9</v>
      </c>
      <c r="E87" s="11">
        <f>IFERROR(100/'Skjema total MA'!C87*C87,0)</f>
        <v>40.355307450630619</v>
      </c>
      <c r="F87" s="349">
        <v>66742344</v>
      </c>
      <c r="G87" s="349">
        <v>78506547.978</v>
      </c>
      <c r="H87" s="171">
        <f t="shared" si="16"/>
        <v>17.600000000000001</v>
      </c>
      <c r="I87" s="11">
        <f>IFERROR(100/'Skjema total MA'!F87*G87,0)</f>
        <v>27.659284946963012</v>
      </c>
      <c r="J87" s="307">
        <f t="shared" ref="J87:K111" si="23">SUM(B87,F87)</f>
        <v>222638170</v>
      </c>
      <c r="K87" s="234">
        <f t="shared" si="23"/>
        <v>235846118.97799999</v>
      </c>
      <c r="L87" s="371">
        <f t="shared" si="18"/>
        <v>5.9</v>
      </c>
      <c r="M87" s="11">
        <f>IFERROR(100/'Skjema total MA'!I87*K87,0)</f>
        <v>35.006546903482196</v>
      </c>
    </row>
    <row r="88" spans="1:13" x14ac:dyDescent="0.2">
      <c r="A88" s="21" t="s">
        <v>9</v>
      </c>
      <c r="B88" s="232">
        <v>155348484</v>
      </c>
      <c r="C88" s="145">
        <v>157212884</v>
      </c>
      <c r="D88" s="166">
        <f t="shared" si="15"/>
        <v>1.2</v>
      </c>
      <c r="E88" s="27">
        <f>IFERROR(100/'Skjema total MA'!C88*C88,0)</f>
        <v>41.2852574988855</v>
      </c>
      <c r="F88" s="232"/>
      <c r="G88" s="145"/>
      <c r="H88" s="166"/>
      <c r="I88" s="27"/>
      <c r="J88" s="285">
        <f t="shared" si="23"/>
        <v>155348484</v>
      </c>
      <c r="K88" s="44">
        <f t="shared" si="23"/>
        <v>157212884</v>
      </c>
      <c r="L88" s="252">
        <f t="shared" si="18"/>
        <v>1.2</v>
      </c>
      <c r="M88" s="27">
        <f>IFERROR(100/'Skjema total MA'!I88*K88,0)</f>
        <v>41.2852574988855</v>
      </c>
    </row>
    <row r="89" spans="1:13" x14ac:dyDescent="0.2">
      <c r="A89" s="21" t="s">
        <v>10</v>
      </c>
      <c r="B89" s="232">
        <v>97860</v>
      </c>
      <c r="C89" s="145">
        <v>96662</v>
      </c>
      <c r="D89" s="166">
        <f t="shared" si="15"/>
        <v>-1.2</v>
      </c>
      <c r="E89" s="27">
        <f>IFERROR(100/'Skjema total MA'!C89*C89,0)</f>
        <v>3.307818395390802</v>
      </c>
      <c r="F89" s="232">
        <v>66742344</v>
      </c>
      <c r="G89" s="145">
        <v>78506547.978</v>
      </c>
      <c r="H89" s="166">
        <f t="shared" si="16"/>
        <v>17.600000000000001</v>
      </c>
      <c r="I89" s="27">
        <f>IFERROR(100/'Skjema total MA'!F89*G89,0)</f>
        <v>27.78662957652509</v>
      </c>
      <c r="J89" s="285">
        <f t="shared" si="23"/>
        <v>66840204</v>
      </c>
      <c r="K89" s="44">
        <f t="shared" si="23"/>
        <v>78603209.978</v>
      </c>
      <c r="L89" s="252">
        <f t="shared" si="18"/>
        <v>17.600000000000001</v>
      </c>
      <c r="M89" s="27">
        <f>IFERROR(100/'Skjema total MA'!I89*K89,0)</f>
        <v>27.536038490047186</v>
      </c>
    </row>
    <row r="90" spans="1:13" ht="15.75" x14ac:dyDescent="0.2">
      <c r="A90" s="294" t="s">
        <v>386</v>
      </c>
      <c r="B90" s="279"/>
      <c r="C90" s="279"/>
      <c r="D90" s="166"/>
      <c r="E90" s="363"/>
      <c r="F90" s="279"/>
      <c r="G90" s="279"/>
      <c r="H90" s="166"/>
      <c r="I90" s="363"/>
      <c r="J90" s="288"/>
      <c r="K90" s="288"/>
      <c r="L90" s="166"/>
      <c r="M90" s="23"/>
    </row>
    <row r="91" spans="1:13" x14ac:dyDescent="0.2">
      <c r="A91" s="294" t="s">
        <v>12</v>
      </c>
      <c r="B91" s="233"/>
      <c r="C91" s="287"/>
      <c r="D91" s="166"/>
      <c r="E91" s="363"/>
      <c r="F91" s="279"/>
      <c r="G91" s="279"/>
      <c r="H91" s="166"/>
      <c r="I91" s="363"/>
      <c r="J91" s="288"/>
      <c r="K91" s="288"/>
      <c r="L91" s="166"/>
      <c r="M91" s="23"/>
    </row>
    <row r="92" spans="1:13" x14ac:dyDescent="0.2">
      <c r="A92" s="294" t="s">
        <v>13</v>
      </c>
      <c r="B92" s="233"/>
      <c r="C92" s="287"/>
      <c r="D92" s="166"/>
      <c r="E92" s="363"/>
      <c r="F92" s="279"/>
      <c r="G92" s="279"/>
      <c r="H92" s="166"/>
      <c r="I92" s="363"/>
      <c r="J92" s="288"/>
      <c r="K92" s="288"/>
      <c r="L92" s="166"/>
      <c r="M92" s="23"/>
    </row>
    <row r="93" spans="1:13" ht="15.75" x14ac:dyDescent="0.2">
      <c r="A93" s="294" t="s">
        <v>387</v>
      </c>
      <c r="B93" s="279"/>
      <c r="C93" s="279"/>
      <c r="D93" s="166"/>
      <c r="E93" s="363"/>
      <c r="F93" s="279"/>
      <c r="G93" s="279"/>
      <c r="H93" s="166"/>
      <c r="I93" s="363"/>
      <c r="J93" s="288"/>
      <c r="K93" s="288"/>
      <c r="L93" s="166"/>
      <c r="M93" s="23"/>
    </row>
    <row r="94" spans="1:13" x14ac:dyDescent="0.2">
      <c r="A94" s="294" t="s">
        <v>12</v>
      </c>
      <c r="B94" s="233"/>
      <c r="C94" s="287"/>
      <c r="D94" s="166"/>
      <c r="E94" s="363"/>
      <c r="F94" s="279"/>
      <c r="G94" s="279"/>
      <c r="H94" s="166"/>
      <c r="I94" s="363"/>
      <c r="J94" s="288"/>
      <c r="K94" s="288"/>
      <c r="L94" s="166"/>
      <c r="M94" s="23"/>
    </row>
    <row r="95" spans="1:13" x14ac:dyDescent="0.2">
      <c r="A95" s="294" t="s">
        <v>13</v>
      </c>
      <c r="B95" s="233"/>
      <c r="C95" s="287"/>
      <c r="D95" s="166"/>
      <c r="E95" s="363"/>
      <c r="F95" s="279"/>
      <c r="G95" s="279"/>
      <c r="H95" s="166"/>
      <c r="I95" s="363"/>
      <c r="J95" s="288"/>
      <c r="K95" s="288"/>
      <c r="L95" s="166"/>
      <c r="M95" s="23"/>
    </row>
    <row r="96" spans="1:13" x14ac:dyDescent="0.2">
      <c r="A96" s="21" t="s">
        <v>354</v>
      </c>
      <c r="B96" s="232"/>
      <c r="C96" s="145"/>
      <c r="D96" s="166"/>
      <c r="E96" s="27"/>
      <c r="F96" s="232"/>
      <c r="G96" s="145"/>
      <c r="H96" s="166"/>
      <c r="I96" s="27"/>
      <c r="J96" s="285"/>
      <c r="K96" s="44"/>
      <c r="L96" s="252"/>
      <c r="M96" s="27"/>
    </row>
    <row r="97" spans="1:13" x14ac:dyDescent="0.2">
      <c r="A97" s="21" t="s">
        <v>353</v>
      </c>
      <c r="B97" s="232">
        <v>449482</v>
      </c>
      <c r="C97" s="145">
        <v>30025</v>
      </c>
      <c r="D97" s="166">
        <f t="shared" ref="D97" si="24">IF(B97=0, "    ---- ", IF(ABS(ROUND(100/B97*C97-100,1))&lt;999,ROUND(100/B97*C97-100,1),IF(ROUND(100/B97*C97-100,1)&gt;999,999,-999)))</f>
        <v>-93.3</v>
      </c>
      <c r="E97" s="27">
        <f>IFERROR(100/'Skjema total MA'!C98*C97,0)</f>
        <v>7.9226757383516859E-3</v>
      </c>
      <c r="F97" s="232"/>
      <c r="G97" s="145"/>
      <c r="H97" s="166"/>
      <c r="I97" s="27"/>
      <c r="J97" s="285">
        <f t="shared" ref="J97" si="25">SUM(B97,F97)</f>
        <v>449482</v>
      </c>
      <c r="K97" s="44">
        <f t="shared" ref="K97" si="26">SUM(C97,G97)</f>
        <v>30025</v>
      </c>
      <c r="L97" s="252">
        <f t="shared" ref="L97" si="27">IF(J97=0, "    ---- ", IF(ABS(ROUND(100/J97*K97-100,1))&lt;999,ROUND(100/J97*K97-100,1),IF(ROUND(100/J97*K97-100,1)&gt;999,999,-999)))</f>
        <v>-93.3</v>
      </c>
      <c r="M97" s="27">
        <f>IFERROR(100/'Skjema total MA'!I98*K97,0)</f>
        <v>4.5442379028522639E-3</v>
      </c>
    </row>
    <row r="98" spans="1:13" ht="15.75" x14ac:dyDescent="0.2">
      <c r="A98" s="21" t="s">
        <v>388</v>
      </c>
      <c r="B98" s="232">
        <v>154032997</v>
      </c>
      <c r="C98" s="232">
        <v>155909493</v>
      </c>
      <c r="D98" s="166">
        <f t="shared" si="15"/>
        <v>1.2</v>
      </c>
      <c r="E98" s="27">
        <f>IFERROR(100/'Skjema total MA'!C98*C98,0)</f>
        <v>41.139728811650691</v>
      </c>
      <c r="F98" s="290">
        <v>66617031</v>
      </c>
      <c r="G98" s="290">
        <v>78395248.194999993</v>
      </c>
      <c r="H98" s="166">
        <f t="shared" si="16"/>
        <v>17.7</v>
      </c>
      <c r="I98" s="27">
        <f>IFERROR(100/'Skjema total MA'!F98*G98,0)</f>
        <v>27.824267009378122</v>
      </c>
      <c r="J98" s="285">
        <f t="shared" si="23"/>
        <v>220650028</v>
      </c>
      <c r="K98" s="44">
        <f t="shared" si="23"/>
        <v>234304741.19499999</v>
      </c>
      <c r="L98" s="252">
        <f t="shared" si="18"/>
        <v>6.2</v>
      </c>
      <c r="M98" s="27">
        <f>IFERROR(100/'Skjema total MA'!I98*K98,0)</f>
        <v>35.461664804539858</v>
      </c>
    </row>
    <row r="99" spans="1:13" x14ac:dyDescent="0.2">
      <c r="A99" s="21" t="s">
        <v>9</v>
      </c>
      <c r="B99" s="290">
        <v>153935137</v>
      </c>
      <c r="C99" s="291">
        <v>155812831</v>
      </c>
      <c r="D99" s="166">
        <f t="shared" si="15"/>
        <v>1.2</v>
      </c>
      <c r="E99" s="27">
        <f>IFERROR(100/'Skjema total MA'!C99*C99,0)</f>
        <v>41.433712354644896</v>
      </c>
      <c r="F99" s="232"/>
      <c r="G99" s="145"/>
      <c r="H99" s="166"/>
      <c r="I99" s="27"/>
      <c r="J99" s="285">
        <f t="shared" si="23"/>
        <v>153935137</v>
      </c>
      <c r="K99" s="44">
        <f t="shared" si="23"/>
        <v>155812831</v>
      </c>
      <c r="L99" s="252">
        <f t="shared" si="18"/>
        <v>1.2</v>
      </c>
      <c r="M99" s="27">
        <f>IFERROR(100/'Skjema total MA'!I99*K99,0)</f>
        <v>41.433712354644896</v>
      </c>
    </row>
    <row r="100" spans="1:13" x14ac:dyDescent="0.2">
      <c r="A100" s="21" t="s">
        <v>10</v>
      </c>
      <c r="B100" s="290">
        <v>97860</v>
      </c>
      <c r="C100" s="291">
        <v>96662</v>
      </c>
      <c r="D100" s="166">
        <f t="shared" si="15"/>
        <v>-1.2</v>
      </c>
      <c r="E100" s="27">
        <f>IFERROR(100/'Skjema total MA'!C100*C100,0)</f>
        <v>3.307818395390802</v>
      </c>
      <c r="F100" s="232">
        <v>66617031</v>
      </c>
      <c r="G100" s="232">
        <v>78395248.194999993</v>
      </c>
      <c r="H100" s="166">
        <f t="shared" si="16"/>
        <v>17.7</v>
      </c>
      <c r="I100" s="27">
        <f>IFERROR(100/'Skjema total MA'!F100*G100,0)</f>
        <v>27.824267009378122</v>
      </c>
      <c r="J100" s="285">
        <f t="shared" si="23"/>
        <v>66714891</v>
      </c>
      <c r="K100" s="44">
        <f t="shared" si="23"/>
        <v>78491910.194999993</v>
      </c>
      <c r="L100" s="252">
        <f t="shared" si="18"/>
        <v>17.7</v>
      </c>
      <c r="M100" s="27">
        <f>IFERROR(100/'Skjema total MA'!I100*K100,0)</f>
        <v>27.57260102660662</v>
      </c>
    </row>
    <row r="101" spans="1:13" ht="15.75" x14ac:dyDescent="0.2">
      <c r="A101" s="294" t="s">
        <v>386</v>
      </c>
      <c r="B101" s="279"/>
      <c r="C101" s="279"/>
      <c r="D101" s="166"/>
      <c r="E101" s="363"/>
      <c r="F101" s="279"/>
      <c r="G101" s="279"/>
      <c r="H101" s="166"/>
      <c r="I101" s="363"/>
      <c r="J101" s="288"/>
      <c r="K101" s="288"/>
      <c r="L101" s="166"/>
      <c r="M101" s="23"/>
    </row>
    <row r="102" spans="1:13" x14ac:dyDescent="0.2">
      <c r="A102" s="294" t="s">
        <v>12</v>
      </c>
      <c r="B102" s="233"/>
      <c r="C102" s="287"/>
      <c r="D102" s="166"/>
      <c r="E102" s="363"/>
      <c r="F102" s="279"/>
      <c r="G102" s="279"/>
      <c r="H102" s="166"/>
      <c r="I102" s="363"/>
      <c r="J102" s="288"/>
      <c r="K102" s="288"/>
      <c r="L102" s="166"/>
      <c r="M102" s="23"/>
    </row>
    <row r="103" spans="1:13" x14ac:dyDescent="0.2">
      <c r="A103" s="294" t="s">
        <v>13</v>
      </c>
      <c r="B103" s="233"/>
      <c r="C103" s="287"/>
      <c r="D103" s="166"/>
      <c r="E103" s="363"/>
      <c r="F103" s="279"/>
      <c r="G103" s="279"/>
      <c r="H103" s="166"/>
      <c r="I103" s="363"/>
      <c r="J103" s="288"/>
      <c r="K103" s="288"/>
      <c r="L103" s="166"/>
      <c r="M103" s="23"/>
    </row>
    <row r="104" spans="1:13" ht="15.75" x14ac:dyDescent="0.2">
      <c r="A104" s="294" t="s">
        <v>387</v>
      </c>
      <c r="B104" s="279"/>
      <c r="C104" s="279"/>
      <c r="D104" s="166"/>
      <c r="E104" s="363"/>
      <c r="F104" s="279"/>
      <c r="G104" s="279"/>
      <c r="H104" s="166"/>
      <c r="I104" s="363"/>
      <c r="J104" s="288"/>
      <c r="K104" s="288"/>
      <c r="L104" s="166"/>
      <c r="M104" s="23"/>
    </row>
    <row r="105" spans="1:13" x14ac:dyDescent="0.2">
      <c r="A105" s="294" t="s">
        <v>12</v>
      </c>
      <c r="B105" s="233"/>
      <c r="C105" s="287"/>
      <c r="D105" s="166"/>
      <c r="E105" s="363"/>
      <c r="F105" s="279"/>
      <c r="G105" s="279"/>
      <c r="H105" s="166"/>
      <c r="I105" s="363"/>
      <c r="J105" s="288"/>
      <c r="K105" s="288"/>
      <c r="L105" s="166"/>
      <c r="M105" s="23"/>
    </row>
    <row r="106" spans="1:13" x14ac:dyDescent="0.2">
      <c r="A106" s="294" t="s">
        <v>13</v>
      </c>
      <c r="B106" s="233"/>
      <c r="C106" s="287"/>
      <c r="D106" s="166"/>
      <c r="E106" s="363"/>
      <c r="F106" s="279"/>
      <c r="G106" s="279"/>
      <c r="H106" s="166"/>
      <c r="I106" s="363"/>
      <c r="J106" s="288"/>
      <c r="K106" s="288"/>
      <c r="L106" s="166"/>
      <c r="M106" s="23"/>
    </row>
    <row r="107" spans="1:13" ht="15.75" x14ac:dyDescent="0.2">
      <c r="A107" s="21" t="s">
        <v>389</v>
      </c>
      <c r="B107" s="232">
        <v>1413347</v>
      </c>
      <c r="C107" s="145">
        <v>1400052.878</v>
      </c>
      <c r="D107" s="166">
        <f t="shared" si="15"/>
        <v>-0.9</v>
      </c>
      <c r="E107" s="27">
        <f>IFERROR(100/'Skjema total MA'!C107*C107,0)</f>
        <v>29.515848241086946</v>
      </c>
      <c r="F107" s="232">
        <v>125313</v>
      </c>
      <c r="G107" s="145">
        <v>111299.783</v>
      </c>
      <c r="H107" s="166">
        <f t="shared" si="16"/>
        <v>-11.2</v>
      </c>
      <c r="I107" s="27">
        <f>IFERROR(100/'Skjema total MA'!F107*G107,0)</f>
        <v>14.229282971171504</v>
      </c>
      <c r="J107" s="285">
        <f t="shared" si="23"/>
        <v>1538660</v>
      </c>
      <c r="K107" s="44">
        <f t="shared" si="23"/>
        <v>1511352.6610000001</v>
      </c>
      <c r="L107" s="252">
        <f t="shared" si="18"/>
        <v>-1.8</v>
      </c>
      <c r="M107" s="27">
        <f>IFERROR(100/'Skjema total MA'!I107*K107,0)</f>
        <v>27.35191831839288</v>
      </c>
    </row>
    <row r="108" spans="1:13" ht="15.75" x14ac:dyDescent="0.2">
      <c r="A108" s="21" t="s">
        <v>390</v>
      </c>
      <c r="B108" s="232">
        <v>131573728</v>
      </c>
      <c r="C108" s="232">
        <v>133940004</v>
      </c>
      <c r="D108" s="166">
        <f t="shared" si="15"/>
        <v>1.8</v>
      </c>
      <c r="E108" s="27">
        <f>IFERROR(100/'Skjema total MA'!C108*C108,0)</f>
        <v>42.457963378940384</v>
      </c>
      <c r="F108" s="232">
        <v>347402</v>
      </c>
      <c r="G108" s="232">
        <v>418692.402</v>
      </c>
      <c r="H108" s="166">
        <f t="shared" si="16"/>
        <v>20.5</v>
      </c>
      <c r="I108" s="27">
        <f>IFERROR(100/'Skjema total MA'!F108*G108,0)</f>
        <v>2.5771583674849317</v>
      </c>
      <c r="J108" s="285">
        <f t="shared" si="23"/>
        <v>131921130</v>
      </c>
      <c r="K108" s="44">
        <f t="shared" si="23"/>
        <v>134358696.40200001</v>
      </c>
      <c r="L108" s="252">
        <f t="shared" si="18"/>
        <v>1.8</v>
      </c>
      <c r="M108" s="27">
        <f>IFERROR(100/'Skjema total MA'!I108*K108,0)</f>
        <v>40.504714074479622</v>
      </c>
    </row>
    <row r="109" spans="1:13" ht="15.75" x14ac:dyDescent="0.2">
      <c r="A109" s="21" t="s">
        <v>391</v>
      </c>
      <c r="B109" s="232">
        <v>97860</v>
      </c>
      <c r="C109" s="232">
        <v>96662</v>
      </c>
      <c r="D109" s="166">
        <f t="shared" si="15"/>
        <v>-1.2</v>
      </c>
      <c r="E109" s="27">
        <f>IFERROR(100/'Skjema total MA'!C109*C109,0)</f>
        <v>9.6059313477007571</v>
      </c>
      <c r="F109" s="232">
        <v>20432206</v>
      </c>
      <c r="G109" s="232">
        <v>26212880</v>
      </c>
      <c r="H109" s="166">
        <f t="shared" si="16"/>
        <v>28.3</v>
      </c>
      <c r="I109" s="27">
        <f>IFERROR(100/'Skjema total MA'!F109*G109,0)</f>
        <v>27.406406374372505</v>
      </c>
      <c r="J109" s="285">
        <f t="shared" si="23"/>
        <v>20530066</v>
      </c>
      <c r="K109" s="44">
        <f t="shared" si="23"/>
        <v>26309542</v>
      </c>
      <c r="L109" s="252">
        <f t="shared" si="18"/>
        <v>28.2</v>
      </c>
      <c r="M109" s="27">
        <f>IFERROR(100/'Skjema total MA'!I109*K109,0)</f>
        <v>27.221078845073176</v>
      </c>
    </row>
    <row r="110" spans="1:13" ht="15.75" x14ac:dyDescent="0.2">
      <c r="A110" s="21" t="s">
        <v>392</v>
      </c>
      <c r="B110" s="232"/>
      <c r="C110" s="232"/>
      <c r="D110" s="166"/>
      <c r="E110" s="27"/>
      <c r="F110" s="232"/>
      <c r="G110" s="232"/>
      <c r="H110" s="166"/>
      <c r="I110" s="27"/>
      <c r="J110" s="285"/>
      <c r="K110" s="44"/>
      <c r="L110" s="252"/>
      <c r="M110" s="27"/>
    </row>
    <row r="111" spans="1:13" ht="15.75" x14ac:dyDescent="0.2">
      <c r="A111" s="13" t="s">
        <v>372</v>
      </c>
      <c r="B111" s="306">
        <v>112990</v>
      </c>
      <c r="C111" s="159">
        <v>126164</v>
      </c>
      <c r="D111" s="171">
        <f t="shared" si="15"/>
        <v>11.7</v>
      </c>
      <c r="E111" s="11">
        <f>IFERROR(100/'Skjema total MA'!C111*C111,0)</f>
        <v>47.868845508657699</v>
      </c>
      <c r="F111" s="306">
        <v>1762873</v>
      </c>
      <c r="G111" s="159">
        <v>2004664</v>
      </c>
      <c r="H111" s="171">
        <f t="shared" si="16"/>
        <v>13.7</v>
      </c>
      <c r="I111" s="11">
        <f>IFERROR(100/'Skjema total MA'!F111*G111,0)</f>
        <v>24.567440131861641</v>
      </c>
      <c r="J111" s="307">
        <f t="shared" si="23"/>
        <v>1875863</v>
      </c>
      <c r="K111" s="234">
        <f t="shared" si="23"/>
        <v>2130828</v>
      </c>
      <c r="L111" s="371">
        <f t="shared" si="18"/>
        <v>13.6</v>
      </c>
      <c r="M111" s="11">
        <f>IFERROR(100/'Skjema total MA'!I111*K111,0)</f>
        <v>25.296523268006602</v>
      </c>
    </row>
    <row r="112" spans="1:13" x14ac:dyDescent="0.2">
      <c r="A112" s="21" t="s">
        <v>9</v>
      </c>
      <c r="B112" s="232">
        <v>112990</v>
      </c>
      <c r="C112" s="145">
        <v>126164</v>
      </c>
      <c r="D112" s="166">
        <f t="shared" ref="D112:D124" si="28">IF(B112=0, "    ---- ", IF(ABS(ROUND(100/B112*C112-100,1))&lt;999,ROUND(100/B112*C112-100,1),IF(ROUND(100/B112*C112-100,1)&gt;999,999,-999)))</f>
        <v>11.7</v>
      </c>
      <c r="E112" s="27">
        <f>IFERROR(100/'Skjema total MA'!C112*C112,0)</f>
        <v>59.865302668514609</v>
      </c>
      <c r="F112" s="232"/>
      <c r="G112" s="145"/>
      <c r="H112" s="166"/>
      <c r="I112" s="27"/>
      <c r="J112" s="285">
        <f t="shared" ref="J112:K125" si="29">SUM(B112,F112)</f>
        <v>112990</v>
      </c>
      <c r="K112" s="44">
        <f t="shared" si="29"/>
        <v>126164</v>
      </c>
      <c r="L112" s="252">
        <f t="shared" ref="L112:L125" si="30">IF(J112=0, "    ---- ", IF(ABS(ROUND(100/J112*K112-100,1))&lt;999,ROUND(100/J112*K112-100,1),IF(ROUND(100/J112*K112-100,1)&gt;999,999,-999)))</f>
        <v>11.7</v>
      </c>
      <c r="M112" s="27">
        <f>IFERROR(100/'Skjema total MA'!I112*K112,0)</f>
        <v>58.405241265278526</v>
      </c>
    </row>
    <row r="113" spans="1:14" x14ac:dyDescent="0.2">
      <c r="A113" s="21" t="s">
        <v>10</v>
      </c>
      <c r="B113" s="232"/>
      <c r="C113" s="145"/>
      <c r="D113" s="166"/>
      <c r="E113" s="27"/>
      <c r="F113" s="232">
        <v>1762873</v>
      </c>
      <c r="G113" s="145">
        <v>2004664</v>
      </c>
      <c r="H113" s="166">
        <f t="shared" ref="H113:H125" si="31">IF(F113=0, "    ---- ", IF(ABS(ROUND(100/F113*G113-100,1))&lt;999,ROUND(100/F113*G113-100,1),IF(ROUND(100/F113*G113-100,1)&gt;999,999,-999)))</f>
        <v>13.7</v>
      </c>
      <c r="I113" s="27">
        <f>IFERROR(100/'Skjema total MA'!F113*G113,0)</f>
        <v>24.6650529808934</v>
      </c>
      <c r="J113" s="285">
        <f t="shared" si="29"/>
        <v>1762873</v>
      </c>
      <c r="K113" s="44">
        <f t="shared" si="29"/>
        <v>2004664</v>
      </c>
      <c r="L113" s="252">
        <f t="shared" si="30"/>
        <v>13.7</v>
      </c>
      <c r="M113" s="27">
        <f>IFERROR(100/'Skjema total MA'!I113*K113,0)</f>
        <v>24.662035026035191</v>
      </c>
    </row>
    <row r="114" spans="1:14" x14ac:dyDescent="0.2">
      <c r="A114" s="21" t="s">
        <v>26</v>
      </c>
      <c r="B114" s="232"/>
      <c r="C114" s="145"/>
      <c r="D114" s="166"/>
      <c r="E114" s="27"/>
      <c r="F114" s="232"/>
      <c r="G114" s="145"/>
      <c r="H114" s="166"/>
      <c r="I114" s="27"/>
      <c r="J114" s="285"/>
      <c r="K114" s="44"/>
      <c r="L114" s="252"/>
      <c r="M114" s="27"/>
    </row>
    <row r="115" spans="1:14" x14ac:dyDescent="0.2">
      <c r="A115" s="294" t="s">
        <v>15</v>
      </c>
      <c r="B115" s="279"/>
      <c r="C115" s="279"/>
      <c r="D115" s="166"/>
      <c r="E115" s="363"/>
      <c r="F115" s="279"/>
      <c r="G115" s="279"/>
      <c r="H115" s="166"/>
      <c r="I115" s="363"/>
      <c r="J115" s="288"/>
      <c r="K115" s="288"/>
      <c r="L115" s="166"/>
      <c r="M115" s="23"/>
    </row>
    <row r="116" spans="1:14" ht="15.75" x14ac:dyDescent="0.2">
      <c r="A116" s="21" t="s">
        <v>393</v>
      </c>
      <c r="B116" s="232">
        <v>22705</v>
      </c>
      <c r="C116" s="232">
        <v>47860.161049999901</v>
      </c>
      <c r="D116" s="166">
        <f t="shared" si="28"/>
        <v>110.8</v>
      </c>
      <c r="E116" s="27">
        <f>IFERROR(100/'Skjema total MA'!C116*C116,0)</f>
        <v>67.07562609758898</v>
      </c>
      <c r="F116" s="232"/>
      <c r="G116" s="232"/>
      <c r="H116" s="166"/>
      <c r="I116" s="27"/>
      <c r="J116" s="285">
        <f t="shared" si="29"/>
        <v>22705</v>
      </c>
      <c r="K116" s="44">
        <f t="shared" si="29"/>
        <v>47860.161049999901</v>
      </c>
      <c r="L116" s="252">
        <f t="shared" si="30"/>
        <v>110.8</v>
      </c>
      <c r="M116" s="27">
        <f>IFERROR(100/'Skjema total MA'!I116*K116,0)</f>
        <v>62.4635466037317</v>
      </c>
    </row>
    <row r="117" spans="1:14" ht="15.75" x14ac:dyDescent="0.2">
      <c r="A117" s="21" t="s">
        <v>394</v>
      </c>
      <c r="B117" s="232"/>
      <c r="C117" s="232"/>
      <c r="D117" s="166"/>
      <c r="E117" s="27"/>
      <c r="F117" s="232">
        <v>131825</v>
      </c>
      <c r="G117" s="232">
        <v>238086.58600000001</v>
      </c>
      <c r="H117" s="166">
        <f t="shared" si="31"/>
        <v>80.599999999999994</v>
      </c>
      <c r="I117" s="27">
        <f>IFERROR(100/'Skjema total MA'!F117*G117,0)</f>
        <v>14.727363378412388</v>
      </c>
      <c r="J117" s="285">
        <f t="shared" si="29"/>
        <v>131825</v>
      </c>
      <c r="K117" s="44">
        <f t="shared" si="29"/>
        <v>238086.58600000001</v>
      </c>
      <c r="L117" s="252">
        <f t="shared" si="30"/>
        <v>80.599999999999994</v>
      </c>
      <c r="M117" s="27">
        <f>IFERROR(100/'Skjema total MA'!I117*K117,0)</f>
        <v>14.727363378412388</v>
      </c>
    </row>
    <row r="118" spans="1:14" ht="15.75" x14ac:dyDescent="0.2">
      <c r="A118" s="21" t="s">
        <v>392</v>
      </c>
      <c r="B118" s="232"/>
      <c r="C118" s="232"/>
      <c r="D118" s="166"/>
      <c r="E118" s="27"/>
      <c r="F118" s="232"/>
      <c r="G118" s="232"/>
      <c r="H118" s="166"/>
      <c r="I118" s="27"/>
      <c r="J118" s="285"/>
      <c r="K118" s="44"/>
      <c r="L118" s="252"/>
      <c r="M118" s="27"/>
    </row>
    <row r="119" spans="1:14" ht="15.75" x14ac:dyDescent="0.2">
      <c r="A119" s="13" t="s">
        <v>373</v>
      </c>
      <c r="B119" s="306">
        <v>85283</v>
      </c>
      <c r="C119" s="159">
        <v>64879</v>
      </c>
      <c r="D119" s="171">
        <f t="shared" si="28"/>
        <v>-23.9</v>
      </c>
      <c r="E119" s="11">
        <f>IFERROR(100/'Skjema total MA'!C119*C119,0)</f>
        <v>23.17696168452283</v>
      </c>
      <c r="F119" s="306">
        <v>2595328</v>
      </c>
      <c r="G119" s="159">
        <v>1545556</v>
      </c>
      <c r="H119" s="171">
        <f t="shared" si="31"/>
        <v>-40.4</v>
      </c>
      <c r="I119" s="11">
        <f>IFERROR(100/'Skjema total MA'!F119*G119,0)</f>
        <v>19.085602932239354</v>
      </c>
      <c r="J119" s="307">
        <f t="shared" si="29"/>
        <v>2680611</v>
      </c>
      <c r="K119" s="234">
        <f t="shared" si="29"/>
        <v>1610435</v>
      </c>
      <c r="L119" s="371">
        <f t="shared" si="30"/>
        <v>-39.9</v>
      </c>
      <c r="M119" s="11">
        <f>IFERROR(100/'Skjema total MA'!I119*K119,0)</f>
        <v>19.222305756576034</v>
      </c>
    </row>
    <row r="120" spans="1:14" x14ac:dyDescent="0.2">
      <c r="A120" s="21" t="s">
        <v>9</v>
      </c>
      <c r="B120" s="232">
        <v>85283</v>
      </c>
      <c r="C120" s="145">
        <v>64879</v>
      </c>
      <c r="D120" s="166">
        <f t="shared" si="28"/>
        <v>-23.9</v>
      </c>
      <c r="E120" s="27">
        <f>IFERROR(100/'Skjema total MA'!C120*C120,0)</f>
        <v>43.84193812220132</v>
      </c>
      <c r="F120" s="232"/>
      <c r="G120" s="145"/>
      <c r="H120" s="166"/>
      <c r="I120" s="27"/>
      <c r="J120" s="285">
        <f t="shared" si="29"/>
        <v>85283</v>
      </c>
      <c r="K120" s="44">
        <f t="shared" si="29"/>
        <v>64879</v>
      </c>
      <c r="L120" s="252">
        <f t="shared" si="30"/>
        <v>-23.9</v>
      </c>
      <c r="M120" s="27">
        <f>IFERROR(100/'Skjema total MA'!I120*K120,0)</f>
        <v>43.84193812220132</v>
      </c>
    </row>
    <row r="121" spans="1:14" x14ac:dyDescent="0.2">
      <c r="A121" s="21" t="s">
        <v>10</v>
      </c>
      <c r="B121" s="232"/>
      <c r="C121" s="145"/>
      <c r="D121" s="166"/>
      <c r="E121" s="27"/>
      <c r="F121" s="232">
        <v>2595328</v>
      </c>
      <c r="G121" s="145">
        <v>1545556</v>
      </c>
      <c r="H121" s="166">
        <f t="shared" si="31"/>
        <v>-40.4</v>
      </c>
      <c r="I121" s="27">
        <f>IFERROR(100/'Skjema total MA'!F121*G121,0)</f>
        <v>19.085602932239354</v>
      </c>
      <c r="J121" s="285">
        <f t="shared" si="29"/>
        <v>2595328</v>
      </c>
      <c r="K121" s="44">
        <f t="shared" si="29"/>
        <v>1545556</v>
      </c>
      <c r="L121" s="252">
        <f t="shared" si="30"/>
        <v>-40.4</v>
      </c>
      <c r="M121" s="27">
        <f>IFERROR(100/'Skjema total MA'!I121*K121,0)</f>
        <v>19.035075113381065</v>
      </c>
    </row>
    <row r="122" spans="1:14" x14ac:dyDescent="0.2">
      <c r="A122" s="21" t="s">
        <v>26</v>
      </c>
      <c r="B122" s="232"/>
      <c r="C122" s="145"/>
      <c r="D122" s="166"/>
      <c r="E122" s="27"/>
      <c r="F122" s="232"/>
      <c r="G122" s="145"/>
      <c r="H122" s="166"/>
      <c r="I122" s="27"/>
      <c r="J122" s="285"/>
      <c r="K122" s="44"/>
      <c r="L122" s="252"/>
      <c r="M122" s="27"/>
    </row>
    <row r="123" spans="1:14" x14ac:dyDescent="0.2">
      <c r="A123" s="294" t="s">
        <v>14</v>
      </c>
      <c r="B123" s="279"/>
      <c r="C123" s="279"/>
      <c r="D123" s="166"/>
      <c r="E123" s="363"/>
      <c r="F123" s="279"/>
      <c r="G123" s="279"/>
      <c r="H123" s="166"/>
      <c r="I123" s="363"/>
      <c r="J123" s="288"/>
      <c r="K123" s="288"/>
      <c r="L123" s="166"/>
      <c r="M123" s="23"/>
    </row>
    <row r="124" spans="1:14" ht="15.75" x14ac:dyDescent="0.2">
      <c r="A124" s="21" t="s">
        <v>399</v>
      </c>
      <c r="B124" s="232">
        <v>31895</v>
      </c>
      <c r="C124" s="232">
        <v>34626.351999999999</v>
      </c>
      <c r="D124" s="166">
        <f t="shared" si="28"/>
        <v>8.6</v>
      </c>
      <c r="E124" s="27">
        <f>IFERROR(100/'Skjema total MA'!C124*C124,0)</f>
        <v>92.941692638923215</v>
      </c>
      <c r="F124" s="232"/>
      <c r="G124" s="232"/>
      <c r="H124" s="166"/>
      <c r="I124" s="27"/>
      <c r="J124" s="285">
        <f t="shared" si="29"/>
        <v>31895</v>
      </c>
      <c r="K124" s="44">
        <f t="shared" si="29"/>
        <v>34626.351999999999</v>
      </c>
      <c r="L124" s="252">
        <f t="shared" si="30"/>
        <v>8.6</v>
      </c>
      <c r="M124" s="27">
        <f>IFERROR(100/'Skjema total MA'!I124*K124,0)</f>
        <v>66.759600615537948</v>
      </c>
    </row>
    <row r="125" spans="1:14" ht="15.75" x14ac:dyDescent="0.2">
      <c r="A125" s="21" t="s">
        <v>391</v>
      </c>
      <c r="B125" s="232"/>
      <c r="C125" s="232"/>
      <c r="D125" s="166"/>
      <c r="E125" s="27"/>
      <c r="F125" s="232">
        <v>338996</v>
      </c>
      <c r="G125" s="232">
        <v>407025.478</v>
      </c>
      <c r="H125" s="166">
        <f t="shared" si="31"/>
        <v>20.100000000000001</v>
      </c>
      <c r="I125" s="27">
        <f>IFERROR(100/'Skjema total MA'!F125*G125,0)</f>
        <v>24.091524546232169</v>
      </c>
      <c r="J125" s="285">
        <f t="shared" si="29"/>
        <v>338996</v>
      </c>
      <c r="K125" s="44">
        <f t="shared" si="29"/>
        <v>407025.478</v>
      </c>
      <c r="L125" s="252">
        <f t="shared" si="30"/>
        <v>20.100000000000001</v>
      </c>
      <c r="M125" s="27">
        <f>IFERROR(100/'Skjema total MA'!I125*K125,0)</f>
        <v>24.059129317020737</v>
      </c>
    </row>
    <row r="126" spans="1:14" ht="15.75" x14ac:dyDescent="0.2">
      <c r="A126" s="10" t="s">
        <v>392</v>
      </c>
      <c r="B126" s="45"/>
      <c r="C126" s="45"/>
      <c r="D126" s="167"/>
      <c r="E126" s="364"/>
      <c r="F126" s="45"/>
      <c r="G126" s="45"/>
      <c r="H126" s="167"/>
      <c r="I126" s="22"/>
      <c r="J126" s="286"/>
      <c r="K126" s="45"/>
      <c r="L126" s="253"/>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95"/>
      <c r="C130" s="695"/>
      <c r="D130" s="695"/>
      <c r="E130" s="297"/>
      <c r="F130" s="695"/>
      <c r="G130" s="695"/>
      <c r="H130" s="695"/>
      <c r="I130" s="297"/>
      <c r="J130" s="695"/>
      <c r="K130" s="695"/>
      <c r="L130" s="695"/>
      <c r="M130" s="297"/>
    </row>
    <row r="131" spans="1:14" s="3" customFormat="1" x14ac:dyDescent="0.2">
      <c r="A131" s="144"/>
      <c r="B131" s="696" t="s">
        <v>0</v>
      </c>
      <c r="C131" s="697"/>
      <c r="D131" s="697"/>
      <c r="E131" s="299"/>
      <c r="F131" s="696" t="s">
        <v>1</v>
      </c>
      <c r="G131" s="697"/>
      <c r="H131" s="697"/>
      <c r="I131" s="302"/>
      <c r="J131" s="696" t="s">
        <v>2</v>
      </c>
      <c r="K131" s="697"/>
      <c r="L131" s="697"/>
      <c r="M131" s="302"/>
      <c r="N131" s="148"/>
    </row>
    <row r="132" spans="1:14" s="3" customFormat="1" x14ac:dyDescent="0.2">
      <c r="A132" s="140"/>
      <c r="B132" s="152" t="s">
        <v>422</v>
      </c>
      <c r="C132" s="152" t="s">
        <v>423</v>
      </c>
      <c r="D132" s="243" t="s">
        <v>3</v>
      </c>
      <c r="E132" s="303" t="s">
        <v>29</v>
      </c>
      <c r="F132" s="152" t="s">
        <v>422</v>
      </c>
      <c r="G132" s="152" t="s">
        <v>423</v>
      </c>
      <c r="H132" s="205" t="s">
        <v>3</v>
      </c>
      <c r="I132" s="162" t="s">
        <v>29</v>
      </c>
      <c r="J132" s="152" t="s">
        <v>422</v>
      </c>
      <c r="K132" s="152" t="s">
        <v>423</v>
      </c>
      <c r="L132" s="244" t="s">
        <v>3</v>
      </c>
      <c r="M132" s="162" t="s">
        <v>29</v>
      </c>
      <c r="N132" s="148"/>
    </row>
    <row r="133" spans="1:14" s="3" customFormat="1" x14ac:dyDescent="0.2">
      <c r="A133" s="666"/>
      <c r="B133" s="156"/>
      <c r="C133" s="156"/>
      <c r="D133" s="244" t="s">
        <v>4</v>
      </c>
      <c r="E133" s="156" t="s">
        <v>30</v>
      </c>
      <c r="F133" s="161"/>
      <c r="G133" s="161"/>
      <c r="H133" s="205" t="s">
        <v>4</v>
      </c>
      <c r="I133" s="156" t="s">
        <v>30</v>
      </c>
      <c r="J133" s="156"/>
      <c r="K133" s="156"/>
      <c r="L133" s="150" t="s">
        <v>4</v>
      </c>
      <c r="M133" s="156" t="s">
        <v>30</v>
      </c>
      <c r="N133" s="148"/>
    </row>
    <row r="134" spans="1:14" s="3" customFormat="1" ht="15.75" x14ac:dyDescent="0.2">
      <c r="A134" s="14" t="s">
        <v>395</v>
      </c>
      <c r="B134" s="234"/>
      <c r="C134" s="307"/>
      <c r="D134" s="347"/>
      <c r="E134" s="11"/>
      <c r="F134" s="314"/>
      <c r="G134" s="315"/>
      <c r="H134" s="374"/>
      <c r="I134" s="24"/>
      <c r="J134" s="316"/>
      <c r="K134" s="316"/>
      <c r="L134" s="370"/>
      <c r="M134" s="11"/>
      <c r="N134" s="148"/>
    </row>
    <row r="135" spans="1:14" s="3" customFormat="1" ht="15.75" x14ac:dyDescent="0.2">
      <c r="A135" s="13" t="s">
        <v>400</v>
      </c>
      <c r="B135" s="234"/>
      <c r="C135" s="307"/>
      <c r="D135" s="171"/>
      <c r="E135" s="11"/>
      <c r="F135" s="234"/>
      <c r="G135" s="307"/>
      <c r="H135" s="375"/>
      <c r="I135" s="24"/>
      <c r="J135" s="306"/>
      <c r="K135" s="306"/>
      <c r="L135" s="371"/>
      <c r="M135" s="11"/>
      <c r="N135" s="148"/>
    </row>
    <row r="136" spans="1:14" s="3" customFormat="1" ht="15.75" x14ac:dyDescent="0.2">
      <c r="A136" s="13" t="s">
        <v>397</v>
      </c>
      <c r="B136" s="234"/>
      <c r="C136" s="307"/>
      <c r="D136" s="171"/>
      <c r="E136" s="11"/>
      <c r="F136" s="234"/>
      <c r="G136" s="307"/>
      <c r="H136" s="375"/>
      <c r="I136" s="24"/>
      <c r="J136" s="306"/>
      <c r="K136" s="306"/>
      <c r="L136" s="371"/>
      <c r="M136" s="11"/>
      <c r="N136" s="148"/>
    </row>
    <row r="137" spans="1:14" s="3" customFormat="1" ht="15.75" x14ac:dyDescent="0.2">
      <c r="A137" s="41" t="s">
        <v>398</v>
      </c>
      <c r="B137" s="274"/>
      <c r="C137" s="313"/>
      <c r="D137" s="169"/>
      <c r="E137" s="9"/>
      <c r="F137" s="274"/>
      <c r="G137" s="313"/>
      <c r="H137" s="376"/>
      <c r="I137" s="36"/>
      <c r="J137" s="312"/>
      <c r="K137" s="312"/>
      <c r="L137" s="372"/>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458" priority="132">
      <formula>kvartal &lt; 4</formula>
    </cfRule>
  </conditionalFormatting>
  <conditionalFormatting sqref="B69">
    <cfRule type="expression" dxfId="1457" priority="100">
      <formula>kvartal &lt; 4</formula>
    </cfRule>
  </conditionalFormatting>
  <conditionalFormatting sqref="C69">
    <cfRule type="expression" dxfId="1456" priority="99">
      <formula>kvartal &lt; 4</formula>
    </cfRule>
  </conditionalFormatting>
  <conditionalFormatting sqref="B72">
    <cfRule type="expression" dxfId="1455" priority="98">
      <formula>kvartal &lt; 4</formula>
    </cfRule>
  </conditionalFormatting>
  <conditionalFormatting sqref="C72">
    <cfRule type="expression" dxfId="1454" priority="97">
      <formula>kvartal &lt; 4</formula>
    </cfRule>
  </conditionalFormatting>
  <conditionalFormatting sqref="B80">
    <cfRule type="expression" dxfId="1453" priority="96">
      <formula>kvartal &lt; 4</formula>
    </cfRule>
  </conditionalFormatting>
  <conditionalFormatting sqref="C80">
    <cfRule type="expression" dxfId="1452" priority="95">
      <formula>kvartal &lt; 4</formula>
    </cfRule>
  </conditionalFormatting>
  <conditionalFormatting sqref="B83">
    <cfRule type="expression" dxfId="1451" priority="94">
      <formula>kvartal &lt; 4</formula>
    </cfRule>
  </conditionalFormatting>
  <conditionalFormatting sqref="C83">
    <cfRule type="expression" dxfId="1450" priority="93">
      <formula>kvartal &lt; 4</formula>
    </cfRule>
  </conditionalFormatting>
  <conditionalFormatting sqref="B90">
    <cfRule type="expression" dxfId="1449" priority="84">
      <formula>kvartal &lt; 4</formula>
    </cfRule>
  </conditionalFormatting>
  <conditionalFormatting sqref="C90">
    <cfRule type="expression" dxfId="1448" priority="83">
      <formula>kvartal &lt; 4</formula>
    </cfRule>
  </conditionalFormatting>
  <conditionalFormatting sqref="B93">
    <cfRule type="expression" dxfId="1447" priority="82">
      <formula>kvartal &lt; 4</formula>
    </cfRule>
  </conditionalFormatting>
  <conditionalFormatting sqref="C93">
    <cfRule type="expression" dxfId="1446" priority="81">
      <formula>kvartal &lt; 4</formula>
    </cfRule>
  </conditionalFormatting>
  <conditionalFormatting sqref="B101">
    <cfRule type="expression" dxfId="1445" priority="80">
      <formula>kvartal &lt; 4</formula>
    </cfRule>
  </conditionalFormatting>
  <conditionalFormatting sqref="C101">
    <cfRule type="expression" dxfId="1444" priority="79">
      <formula>kvartal &lt; 4</formula>
    </cfRule>
  </conditionalFormatting>
  <conditionalFormatting sqref="B104">
    <cfRule type="expression" dxfId="1443" priority="78">
      <formula>kvartal &lt; 4</formula>
    </cfRule>
  </conditionalFormatting>
  <conditionalFormatting sqref="C104">
    <cfRule type="expression" dxfId="1442" priority="77">
      <formula>kvartal &lt; 4</formula>
    </cfRule>
  </conditionalFormatting>
  <conditionalFormatting sqref="B115">
    <cfRule type="expression" dxfId="1441" priority="76">
      <formula>kvartal &lt; 4</formula>
    </cfRule>
  </conditionalFormatting>
  <conditionalFormatting sqref="C115">
    <cfRule type="expression" dxfId="1440" priority="75">
      <formula>kvartal &lt; 4</formula>
    </cfRule>
  </conditionalFormatting>
  <conditionalFormatting sqref="B123">
    <cfRule type="expression" dxfId="1439" priority="74">
      <formula>kvartal &lt; 4</formula>
    </cfRule>
  </conditionalFormatting>
  <conditionalFormatting sqref="C123">
    <cfRule type="expression" dxfId="1438" priority="73">
      <formula>kvartal &lt; 4</formula>
    </cfRule>
  </conditionalFormatting>
  <conditionalFormatting sqref="F70">
    <cfRule type="expression" dxfId="1437" priority="72">
      <formula>kvartal &lt; 4</formula>
    </cfRule>
  </conditionalFormatting>
  <conditionalFormatting sqref="G70">
    <cfRule type="expression" dxfId="1436" priority="71">
      <formula>kvartal &lt; 4</formula>
    </cfRule>
  </conditionalFormatting>
  <conditionalFormatting sqref="F71:G71">
    <cfRule type="expression" dxfId="1435" priority="70">
      <formula>kvartal &lt; 4</formula>
    </cfRule>
  </conditionalFormatting>
  <conditionalFormatting sqref="F73:G74">
    <cfRule type="expression" dxfId="1434" priority="69">
      <formula>kvartal &lt; 4</formula>
    </cfRule>
  </conditionalFormatting>
  <conditionalFormatting sqref="F81:G82">
    <cfRule type="expression" dxfId="1433" priority="68">
      <formula>kvartal &lt; 4</formula>
    </cfRule>
  </conditionalFormatting>
  <conditionalFormatting sqref="F84:G85">
    <cfRule type="expression" dxfId="1432" priority="67">
      <formula>kvartal &lt; 4</formula>
    </cfRule>
  </conditionalFormatting>
  <conditionalFormatting sqref="F91:G92">
    <cfRule type="expression" dxfId="1431" priority="62">
      <formula>kvartal &lt; 4</formula>
    </cfRule>
  </conditionalFormatting>
  <conditionalFormatting sqref="F94:G95">
    <cfRule type="expression" dxfId="1430" priority="61">
      <formula>kvartal &lt; 4</formula>
    </cfRule>
  </conditionalFormatting>
  <conditionalFormatting sqref="F102:G103">
    <cfRule type="expression" dxfId="1429" priority="60">
      <formula>kvartal &lt; 4</formula>
    </cfRule>
  </conditionalFormatting>
  <conditionalFormatting sqref="F105:G106">
    <cfRule type="expression" dxfId="1428" priority="59">
      <formula>kvartal &lt; 4</formula>
    </cfRule>
  </conditionalFormatting>
  <conditionalFormatting sqref="F115">
    <cfRule type="expression" dxfId="1427" priority="58">
      <formula>kvartal &lt; 4</formula>
    </cfRule>
  </conditionalFormatting>
  <conditionalFormatting sqref="G115">
    <cfRule type="expression" dxfId="1426" priority="57">
      <formula>kvartal &lt; 4</formula>
    </cfRule>
  </conditionalFormatting>
  <conditionalFormatting sqref="F123:G123">
    <cfRule type="expression" dxfId="1425" priority="56">
      <formula>kvartal &lt; 4</formula>
    </cfRule>
  </conditionalFormatting>
  <conditionalFormatting sqref="F69:G69">
    <cfRule type="expression" dxfId="1424" priority="55">
      <formula>kvartal &lt; 4</formula>
    </cfRule>
  </conditionalFormatting>
  <conditionalFormatting sqref="F72:G72">
    <cfRule type="expression" dxfId="1423" priority="54">
      <formula>kvartal &lt; 4</formula>
    </cfRule>
  </conditionalFormatting>
  <conditionalFormatting sqref="F80:G80">
    <cfRule type="expression" dxfId="1422" priority="53">
      <formula>kvartal &lt; 4</formula>
    </cfRule>
  </conditionalFormatting>
  <conditionalFormatting sqref="F83:G83">
    <cfRule type="expression" dxfId="1421" priority="52">
      <formula>kvartal &lt; 4</formula>
    </cfRule>
  </conditionalFormatting>
  <conditionalFormatting sqref="F90:G90">
    <cfRule type="expression" dxfId="1420" priority="46">
      <formula>kvartal &lt; 4</formula>
    </cfRule>
  </conditionalFormatting>
  <conditionalFormatting sqref="F93">
    <cfRule type="expression" dxfId="1419" priority="45">
      <formula>kvartal &lt; 4</formula>
    </cfRule>
  </conditionalFormatting>
  <conditionalFormatting sqref="G93">
    <cfRule type="expression" dxfId="1418" priority="44">
      <formula>kvartal &lt; 4</formula>
    </cfRule>
  </conditionalFormatting>
  <conditionalFormatting sqref="F101">
    <cfRule type="expression" dxfId="1417" priority="43">
      <formula>kvartal &lt; 4</formula>
    </cfRule>
  </conditionalFormatting>
  <conditionalFormatting sqref="G101">
    <cfRule type="expression" dxfId="1416" priority="42">
      <formula>kvartal &lt; 4</formula>
    </cfRule>
  </conditionalFormatting>
  <conditionalFormatting sqref="G104">
    <cfRule type="expression" dxfId="1415" priority="41">
      <formula>kvartal &lt; 4</formula>
    </cfRule>
  </conditionalFormatting>
  <conditionalFormatting sqref="F104">
    <cfRule type="expression" dxfId="1414" priority="40">
      <formula>kvartal &lt; 4</formula>
    </cfRule>
  </conditionalFormatting>
  <conditionalFormatting sqref="J69:K73">
    <cfRule type="expression" dxfId="1413" priority="39">
      <formula>kvartal &lt; 4</formula>
    </cfRule>
  </conditionalFormatting>
  <conditionalFormatting sqref="J74:K74">
    <cfRule type="expression" dxfId="1412" priority="38">
      <formula>kvartal &lt; 4</formula>
    </cfRule>
  </conditionalFormatting>
  <conditionalFormatting sqref="J80:K85">
    <cfRule type="expression" dxfId="1411" priority="37">
      <formula>kvartal &lt; 4</formula>
    </cfRule>
  </conditionalFormatting>
  <conditionalFormatting sqref="J90:K95">
    <cfRule type="expression" dxfId="1410" priority="34">
      <formula>kvartal &lt; 4</formula>
    </cfRule>
  </conditionalFormatting>
  <conditionalFormatting sqref="J101:K106">
    <cfRule type="expression" dxfId="1409" priority="33">
      <formula>kvartal &lt; 4</formula>
    </cfRule>
  </conditionalFormatting>
  <conditionalFormatting sqref="J115:K115">
    <cfRule type="expression" dxfId="1408" priority="32">
      <formula>kvartal &lt; 4</formula>
    </cfRule>
  </conditionalFormatting>
  <conditionalFormatting sqref="J123:K123">
    <cfRule type="expression" dxfId="1407" priority="31">
      <formula>kvartal &lt; 4</formula>
    </cfRule>
  </conditionalFormatting>
  <conditionalFormatting sqref="A50:A52">
    <cfRule type="expression" dxfId="1406" priority="12">
      <formula>kvartal &lt; 4</formula>
    </cfRule>
  </conditionalFormatting>
  <conditionalFormatting sqref="A69:A74">
    <cfRule type="expression" dxfId="1405" priority="10">
      <formula>kvartal &lt; 4</formula>
    </cfRule>
  </conditionalFormatting>
  <conditionalFormatting sqref="A80:A85">
    <cfRule type="expression" dxfId="1404" priority="9">
      <formula>kvartal &lt; 4</formula>
    </cfRule>
  </conditionalFormatting>
  <conditionalFormatting sqref="A90:A95">
    <cfRule type="expression" dxfId="1403" priority="6">
      <formula>kvartal &lt; 4</formula>
    </cfRule>
  </conditionalFormatting>
  <conditionalFormatting sqref="A101:A106">
    <cfRule type="expression" dxfId="1402" priority="5">
      <formula>kvartal &lt; 4</formula>
    </cfRule>
  </conditionalFormatting>
  <conditionalFormatting sqref="A115">
    <cfRule type="expression" dxfId="1401" priority="4">
      <formula>kvartal &lt; 4</formula>
    </cfRule>
  </conditionalFormatting>
  <conditionalFormatting sqref="A123">
    <cfRule type="expression" dxfId="1400" priority="3">
      <formula>kvartal &lt; 4</formula>
    </cfRule>
  </conditionalFormatting>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A g E A A B Q S w M E F A A C A A g A O U E k T 1 m b H C u o A A A A + Q A A A B I A H A B D b 2 5 m a W c v U G F j a 2 F n Z S 5 4 b W w g o h g A K K A U A A A A A A A A A A A A A A A A A A A A A A A A A A A A h Y 9 B D o I w F E S v Q r q n H 0 p E Q z 5 l 4 V b U x M S 4 r V C h E Y q h R b i b C 4 / k F S R R 1 J 3 L m b x J 3 j x u d 0 y G u n K u s j W q 0 T H x q U c c q b M m V 7 q I S W d P 7 o I k H L c i O 4 t C O i O s T T Q Y F Z P S 2 k s E 0 P c 9 7 Q P a t A U w z / P h k K 5 2 W S l r 4 S p t r N C Z J J 9 V / n 9 F O O 5 f M p z R M K S z Y B 5 S P 2 Q M Y e o x V f r L s F G Z e g g / J S 6 7 y n a t 5 P r o r j c I U 0 R 4 3 + B P U E s D B B Q A A g A I A D l B J E 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5 Q S R P B v r 5 6 f 4 A A A B i A Q A A E w A c A E Z v c m 1 1 b G F z L 1 N l Y 3 R p b 2 4 x L m 0 g o h g A K K A U A A A A A A A A A A A A A A A A A A A A A A A A A A A A f Y / B S s N A E I b P D f Q d h j 2 U B t I Q P Q k h I K R B p F C U B C 2 s S 9 g 0 A 8 Z s s n W y K Z X S o 4 / i k / T F u r F F 8 e J c Z m D + b / 7 5 O 1 y b S r e Q n v t V O H b G T v c q C U u Y S y M h A o X G A V s P k m S D B u k J q a z s I t m t U f l x T 4 S t e d Z U F 1 r X U 3 f P l 1 Y X s R 8 9 M n H g s W 6 N l Q k P v o 8 t K l W i v Z G + K 3 / w K W S H U 5 b d z d L V / C a Z B c H 1 y 7 0 F q J W K e c B U t c 0 b a S f + 2 C N 9 R C x Z J T H w s t D C 5 5 s c h 0 / y D W F n L W T 3 p l v h j E a 3 x y + y F g w m s O y b A s n P d I Y 7 M / 2 b h B 8 / S e y D g w s T 5 g 1 Y v Z V k p L q g / 7 O L s / b C A w u Z c J 2 q / c 0 Y n g B Q S w E C L Q A U A A I A C A A 5 Q S R P W Z s c K 6 g A A A D 5 A A A A E g A A A A A A A A A A A A A A A A A A A A A A Q 2 9 u Z m l n L 1 B h Y 2 t h Z 2 U u e G 1 s U E s B A i 0 A F A A C A A g A O U E k T w / K 6 a u k A A A A 6 Q A A A B M A A A A A A A A A A A A A A A A A 9 A A A A F t D b 2 5 0 Z W 5 0 X 1 R 5 c G V z X S 5 4 b W x Q S w E C L Q A U A A I A C A A 5 Q S R P B v r 5 6 f 4 A A A B i A Q A A E w A A A A A A A A A A A A A A A A D l A Q A A R m 9 y b X V s Y X M v U 2 V j d G l v b j E u b V B L B Q Y A A A A A A w A D A M I A A A A w A w 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7 D C w A A A A A A A K E 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Y X R h P C 9 J d G V t U G F 0 a D 4 8 L 0 l 0 Z W 1 M b 2 N h d G l v b j 4 8 U 3 R h Y m x l R W 5 0 c m l l c z 4 8 R W 5 0 c n k g V H l w Z T 0 i S X N Q c m l 2 Y X R l I i B W Y W x 1 Z T 0 i b D A i I C 8 + P E V u d H J 5 I F R 5 c G U 9 I k J 1 Z m Z l c k 5 l e H R S Z W Z y Z X N o I i B W Y W x 1 Z T 0 i b D E i I C 8 + P E V u d H J 5 I F R 5 c G U 9 I k Z p b G x F b m F i b G V k I i B W Y W x 1 Z T 0 i b D A i I C 8 + P E V u d H J 5 I F R 5 c G U 9 I k Z p b G x U b 0 R h d G F N b 2 R l b E V u Y W J s Z W Q i I F Z h b H V l P S J s M C I g L z 4 8 R W 5 0 c n k g V H l w Z T 0 i U m V z d W x 0 V H l w Z S I g V m F s d W U 9 I n N U Y W J s Z S I g L z 4 8 R W 5 0 c n k g V H l w Z T 0 i T m F t Z V V w Z G F 0 Z W R B Z n R l c k Z p b G w i I F Z h b H V l P S J s M C I g L z 4 8 R W 5 0 c n k g V H l w Z T 0 i R m l s b G V k Q 2 9 t c G x l d G V S Z X N 1 b H R U b 1 d v c m t z a G V l d C I g V m F s d W U 9 I m w x I i A v P j x F b n R y e S B U e X B l P S J S Z W N v d m V y e V R h c m d l d F N o Z W V 0 I i B W Y W x 1 Z T 0 i c 0 F y a z I i I C 8 + P E V u d H J 5 I F R 5 c G U 9 I l J l Y 2 9 2 Z X J 5 V G F y Z 2 V 0 Q 2 9 s d W 1 u I i B W Y W x 1 Z T 0 i b D E i I C 8 + P E V u d H J 5 I F R 5 c G U 9 I l J l Y 2 9 2 Z X J 5 V G F y Z 2 V 0 U m 9 3 I i B W Y W x 1 Z T 0 i b D E i I C 8 + P E V u d H J 5 I F R 5 c G U 9 I l F 1 Z X J 5 S U Q i I F Z h b H V l P S J z N G U 4 M 2 F k Z D k t Z W N j Y i 0 0 Z W Y 2 L T l j Z j g t N m I y O T h k Z j A 0 N G M 5 I i A v P j x F b n R y e S B U e X B l P S J O Y X Z p Z 2 F 0 a W 9 u U 3 R l c E 5 h b W U i I F Z h b H V l P S J z T m F 2 a W d h d G l v b i I g L z 4 8 R W 5 0 c n k g V H l w Z T 0 i R m l s b E V y c m 9 y Q 2 9 1 b n Q i I F Z h b H V l P S J s M C I g L z 4 8 R W 5 0 c n k g V H l w Z T 0 i R m l s b E x h c 3 R V c G R h d G V k I i B W Y W x 1 Z T 0 i Z D I w M T k t M D k t M D R U M D Y 6 M D k 6 M D k u N j k 0 M z A 2 O V o i I C 8 + P E V u d H J 5 I F R 5 c G U 9 I k Z p b G x F c n J v c k N v Z G U i I F Z h b H V l P S J z V W 5 r b m 9 3 b i I g L z 4 8 R W 5 0 c n k g V H l w Z T 0 i R m l s b E N v b H V t b l R 5 c G V z I i B W Y W x 1 Z T 0 i c 0 J n S U N B Z 0 l D Q W d V P S I g L z 4 8 R W 5 0 c n k g V H l w Z T 0 i R m l s b E N v d W 5 0 I i B W Y W x 1 Z T 0 i b D c w M j A i I C 8 + P E V u d H J 5 I F R 5 c G U 9 I k Z p b G x D b 2 x 1 b W 5 O Y W 1 l c y I g V m F s d W U 9 I n N b J n F 1 b 3 Q 7 c 8 O 4 a 2 V u w 7 h r a 2 V s J n F 1 b 3 Q 7 L C Z x d W 9 0 O 3 N l b H N r Y X B f a W Q m c X V v d D s s J n F 1 b 3 Q 7 w 6 V y J n F 1 b 3 Q 7 L C Z x d W 9 0 O 2 t 2 Y X J 0 Y W w m c X V v d D s s J n F 1 b 3 Q 7 d G F i Z W x s X 2 l k J n F 1 b 3 Q 7 L C Z x d W 9 0 O 3 J h Z F 9 p Z C Z x d W 9 0 O y w m c X V v d D t r Y X R l Z 2 9 y a V 9 p Z C Z x d W 9 0 O y w m c X V v d D t 2 Z X J k a S Z x d W 9 0 O 1 0 i I C 8 + P E V u d H J 5 I F R 5 c G U 9 I k Z p b G x T d G F 0 d X M i I F Z h b H V l P S J z Q 2 9 t c G x l d G U i I C 8 + P E V u d H J 5 I F R 5 c G U 9 I k F k Z G V k V G 9 E Y X R h T W 9 k Z W w i I F Z h b H V l P S J s M C I g L z 4 8 R W 5 0 c n k g V H l w Z T 0 i U m V s Y X R p b 2 5 z a G l w S W 5 m b 0 N v b n R h a W 5 l c i I g V m F s d W U 9 I n N 7 J n F 1 b 3 Q 7 Y 2 9 s d W 1 u Q 2 9 1 b n Q m c X V v d D s 6 O C w m c X V v d D t r Z X l D b 2 x 1 b W 5 O Y W 1 l c y Z x d W 9 0 O z p b X S w m c X V v d D t x d W V y e V J l b G F 0 a W 9 u c 2 h p c H M m c X V v d D s 6 W 1 0 s J n F 1 b 3 Q 7 Y 2 9 s d W 1 u S W R l b n R p d G l l c y Z x d W 9 0 O z p b J n F 1 b 3 Q 7 U 2 V j d G l v b j E v R G F 0 Y S 9 L a W x k Z S 5 7 c 8 O 4 a 2 V u w 7 h r a 2 V s L D B 9 J n F 1 b 3 Q 7 L C Z x d W 9 0 O 1 N l Y 3 R p b 2 4 x L 0 R h d G E v S 2 l s Z G U u e 3 N l b H N r Y X B f a W Q s M X 0 m c X V v d D s s J n F 1 b 3 Q 7 U 2 V j d G l v b j E v R G F 0 Y S 9 L a W x k Z S 5 7 w 6 V y L D J 9 J n F 1 b 3 Q 7 L C Z x d W 9 0 O 1 N l Y 3 R p b 2 4 x L 0 R h d G E v S 2 l s Z G U u e 2 t 2 Y X J 0 Y W w s M 3 0 m c X V v d D s s J n F 1 b 3 Q 7 U 2 V j d G l v b j E v R G F 0 Y S 9 L a W x k Z S 5 7 d G F i Z W x s X 2 l k L D R 9 J n F 1 b 3 Q 7 L C Z x d W 9 0 O 1 N l Y 3 R p b 2 4 x L 0 R h d G E v S 2 l s Z G U u e 3 J h Z F 9 p Z C w 1 f S Z x d W 9 0 O y w m c X V v d D t T Z W N 0 a W 9 u M S 9 E Y X R h L 0 t p b G R l L n t r Y X R l Z 2 9 y a V 9 p Z C w 2 f S Z x d W 9 0 O y w m c X V v d D t T Z W N 0 a W 9 u M S 9 E Y X R h L 0 t p b G R l L n t 2 Z X J k a S w 3 f S Z x d W 9 0 O 1 0 s J n F 1 b 3 Q 7 Q 2 9 s d W 1 u Q 2 9 1 b n Q m c X V v d D s 6 O C w m c X V v d D t L Z X l D b 2 x 1 b W 5 O Y W 1 l c y Z x d W 9 0 O z p b X S w m c X V v d D t D b 2 x 1 b W 5 J Z G V u d G l 0 a W V z J n F 1 b 3 Q 7 O l s m c X V v d D t T Z W N 0 a W 9 u M S 9 E Y X R h L 0 t p b G R l L n t z w 7 h r Z W 7 D u G t r Z W w s M H 0 m c X V v d D s s J n F 1 b 3 Q 7 U 2 V j d G l v b j E v R G F 0 Y S 9 L a W x k Z S 5 7 c 2 V s c 2 t h c F 9 p Z C w x f S Z x d W 9 0 O y w m c X V v d D t T Z W N 0 a W 9 u M S 9 E Y X R h L 0 t p b G R l L n v D p X I s M n 0 m c X V v d D s s J n F 1 b 3 Q 7 U 2 V j d G l v b j E v R G F 0 Y S 9 L a W x k Z S 5 7 a 3 Z h c n R h b C w z f S Z x d W 9 0 O y w m c X V v d D t T Z W N 0 a W 9 u M S 9 E Y X R h L 0 t p b G R l L n t 0 Y W J l b G x f a W Q s N H 0 m c X V v d D s s J n F 1 b 3 Q 7 U 2 V j d G l v b j E v R G F 0 Y S 9 L a W x k Z S 5 7 c m F k X 2 l k L D V 9 J n F 1 b 3 Q 7 L C Z x d W 9 0 O 1 N l Y 3 R p b 2 4 x L 0 R h d G E v S 2 l s Z G U u e 2 t h d G V n b 3 J p X 2 l k L D Z 9 J n F 1 b 3 Q 7 L C Z x d W 9 0 O 1 N l Y 3 R p b 2 4 x L 0 R h d G E v S 2 l s Z G U u e 3 Z l c m R p L D d 9 J n F 1 b 3 Q 7 X S w m c X V v d D t S Z W x h d G l v b n N o a X B J b m Z v J n F 1 b 3 Q 7 O l t d f S I g L z 4 8 R W 5 0 c n k g V H l w Z T 0 i R m l s b E 9 i a m V j d F R 5 c G U i I F Z h b H V l P S J z Q 2 9 u b m V j d G l v b k 9 u b H k i I C 8 + P C 9 T d G F i b G V F b n R y a W V z P j w v S X R l b T 4 8 S X R l b T 4 8 S X R l b U x v Y 2 F 0 a W 9 u P j x J d G V t V H l w Z T 5 G b 3 J t d W x h P C 9 J d G V t V H l w Z T 4 8 S X R l b V B h d G g + U 2 V j d G l v b j E v R G F 0 Y S 9 L a W x k Z T w v S X R l b V B h d G g + P C 9 J d G V t T G 9 j Y X R p b 2 4 + P F N 0 Y W J s Z U V u d H J p Z X M g L z 4 8 L 0 l 0 Z W 0 + P E l 0 Z W 0 + P E l 0 Z W 1 M b 2 N h d G l v b j 4 8 S X R l b V R 5 c G U + R m 9 y b X V s Y T w v S X R l b V R 5 c G U + P E l 0 Z W 1 Q Y X R o P l N l Y 3 R p b 2 4 x L 0 R h d G E v U G F y Y W 1 l d G V y V m V y Z G k 8 L 0 l 0 Z W 1 Q Y X R o P j w v S X R l b U x v Y 2 F 0 a W 9 u P j x T d G F i b G V F b n R y a W V z I C 8 + P C 9 J d G V t P j w v S X R l b X M + P C 9 M b 2 N h b F B h Y 2 t h Z 2 V N Z X R h Z G F 0 Y U Z p b G U + F g A A A F B L B Q Y A A A A A A A A A A A A A A A A A A A A A A A D a A A A A A Q A A A N C M n d 8 B F d E R j H o A w E / C l + s B A A A A A C 7 b A t L x L E m S J C o d V 3 w D j Q A A A A A C A A A A A A A D Z g A A w A A A A B A A A A C d I z U E y 9 e m q z n / s 8 P M l m l O A A A A A A S A A A C g A A A A E A A A A J Q k z 8 m S 4 5 t c k q H E V 0 n s M o Z Q A A A A O f G p r 7 3 H k V u U d W n 8 R y V R C H y 5 v X q 0 M V A s O 5 4 U h t p 2 s y u v 7 p t w C m 4 Z N 3 x Q Q 2 n V P E J 4 5 3 b e U 1 6 W 6 p J V 2 a X V b I v O O w I Z A z X k N P V 4 + 4 / X 7 5 t B g y A U A A A A g m 1 o a u w 6 F + S 3 G n L m 0 7 4 f 8 m S x j s E = < / 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2020-123998358-369</_dlc_DocId>
    <_dlc_DocIdUrl xmlns="6edf9311-6556-4af2-85ff-d57844cfe120">
      <Url>https://finansnorge.sharepoint.com/sites/intranett/arkiv/_layouts/15/DocIdRedir.aspx?ID=2020-123998358-369</Url>
      <Description>2020-123998358-369</Description>
    </_dlc_DocIdUrl>
  </documentManagement>
</p:properties>
</file>

<file path=customXml/itemProps1.xml><?xml version="1.0" encoding="utf-8"?>
<ds:datastoreItem xmlns:ds="http://schemas.openxmlformats.org/officeDocument/2006/customXml" ds:itemID="{90A5026E-7503-4E4B-BD83-E9801AFFB720}">
  <ds:schemaRefs>
    <ds:schemaRef ds:uri="http://schemas.microsoft.com/DataMashup"/>
  </ds:schemaRefs>
</ds:datastoreItem>
</file>

<file path=customXml/itemProps2.xml><?xml version="1.0" encoding="utf-8"?>
<ds:datastoreItem xmlns:ds="http://schemas.openxmlformats.org/officeDocument/2006/customXml" ds:itemID="{80487B06-E026-4118-BB97-E0047C61C447}"/>
</file>

<file path=customXml/itemProps3.xml><?xml version="1.0" encoding="utf-8"?>
<ds:datastoreItem xmlns:ds="http://schemas.openxmlformats.org/officeDocument/2006/customXml" ds:itemID="{85896CE3-007F-4E31-B0B0-E5F7116DCDB6}"/>
</file>

<file path=customXml/itemProps4.xml><?xml version="1.0" encoding="utf-8"?>
<ds:datastoreItem xmlns:ds="http://schemas.openxmlformats.org/officeDocument/2006/customXml" ds:itemID="{5A5BADAD-6F8F-47F3-8617-C4DAFDA60D99}"/>
</file>

<file path=customXml/itemProps5.xml><?xml version="1.0" encoding="utf-8"?>
<ds:datastoreItem xmlns:ds="http://schemas.openxmlformats.org/officeDocument/2006/customXml" ds:itemID="{151680D6-A9C0-4733-B233-6639C6A966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33</vt:i4>
      </vt:variant>
      <vt:variant>
        <vt:lpstr>Navngitte områder</vt:lpstr>
      </vt:variant>
      <vt:variant>
        <vt:i4>3</vt:i4>
      </vt:variant>
    </vt:vector>
  </HeadingPairs>
  <TitlesOfParts>
    <vt:vector size="36" baseType="lpstr">
      <vt:lpstr>Forside</vt:lpstr>
      <vt:lpstr>Innhold</vt:lpstr>
      <vt:lpstr>Figurer</vt:lpstr>
      <vt:lpstr>Tabel 1.1</vt:lpstr>
      <vt:lpstr>Tabell 1.2</vt:lpstr>
      <vt:lpstr>Tabell 1.3</vt:lpstr>
      <vt:lpstr>Skjema total MA</vt:lpstr>
      <vt:lpstr>Danica Pensjonsforsikring</vt:lpstr>
      <vt:lpstr>DNB Livsforsikring</vt:lpstr>
      <vt:lpstr>Eika Forsikring AS</vt:lpstr>
      <vt:lpstr>Frende Livsforsikring</vt:lpstr>
      <vt:lpstr>Frende Skadeforsikring</vt:lpstr>
      <vt:lpstr>Gjensidige Forsikring</vt:lpstr>
      <vt:lpstr>Gjensidige Pensjon</vt:lpstr>
      <vt:lpstr>Handelsbanken Liv</vt:lpstr>
      <vt:lpstr>If Skadeforsikring NUF</vt:lpstr>
      <vt:lpstr>KLP</vt:lpstr>
      <vt:lpstr>KLP Bedriftspensjon AS</vt:lpstr>
      <vt:lpstr>KLP Skadeforsikring AS</vt:lpstr>
      <vt:lpstr>Landbruksforsikring AS</vt:lpstr>
      <vt:lpstr>NEMI Forsikring</vt:lpstr>
      <vt:lpstr>Nordea Liv </vt:lpstr>
      <vt:lpstr>Oslo Pensjonsforsikring</vt:lpstr>
      <vt:lpstr>Protector Forsikring</vt:lpstr>
      <vt:lpstr>SHB Liv</vt:lpstr>
      <vt:lpstr>Sparebank 1</vt:lpstr>
      <vt:lpstr>Storebrand Livsforsikring</vt:lpstr>
      <vt:lpstr>Telenor Forsikring</vt:lpstr>
      <vt:lpstr>Tryg Forsikring</vt:lpstr>
      <vt:lpstr>Tabell 4</vt:lpstr>
      <vt:lpstr>Tabell 6</vt:lpstr>
      <vt:lpstr>Tabell 8</vt:lpstr>
      <vt:lpstr>Noter og kommentarer</vt:lpstr>
      <vt:lpstr>'NEMI Forsikring'!Utskriftsområde</vt:lpstr>
      <vt:lpstr>'Noter og kommentarer'!Utskriftsområde</vt:lpstr>
      <vt:lpstr>'Skjema total MA'!Utskriftsområde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2016-06-01T05:37:12Z</cp:lastPrinted>
  <dcterms:created xsi:type="dcterms:W3CDTF">2010-12-15T10:21:26Z</dcterms:created>
  <dcterms:modified xsi:type="dcterms:W3CDTF">2020-01-28T12:03:42Z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dc3d6b70-8ec6-4e57-a818-c94069fa45b3</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